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namedSheetViews/namedSheetView1.xml" ContentType="application/vnd.ms-excel.namedsheetview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omments3.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defaultThemeVersion="124226"/>
  <mc:AlternateContent xmlns:mc="http://schemas.openxmlformats.org/markup-compatibility/2006">
    <mc:Choice Requires="x15">
      <x15ac:absPath xmlns:x15ac="http://schemas.microsoft.com/office/spreadsheetml/2010/11/ac" url="https://hants-my.sharepoint.com/personal/hribcam_hants_gov_uk/Documents/Finance Adviser/High Needs/"/>
    </mc:Choice>
  </mc:AlternateContent>
  <xr:revisionPtr revIDLastSave="0" documentId="8_{968E44CE-29B2-4135-B5C8-BA4F6868F680}" xr6:coauthVersionLast="47" xr6:coauthVersionMax="47" xr10:uidLastSave="{00000000-0000-0000-0000-000000000000}"/>
  <workbookProtection workbookAlgorithmName="SHA-512" workbookHashValue="/U4v9jX77n3390+uJ/h1xbI4f4pWWbRpbB4EgJSaD9Q9+Uu+eHelKiU2QwR5X0LFr2QGBnFm+zFu2CqGWhIFjQ==" workbookSaltValue="xFlACLj7z9Ut37pvUsFZYA==" workbookSpinCount="100000" lockStructure="1"/>
  <bookViews>
    <workbookView xWindow="-120" yWindow="-120" windowWidth="29040" windowHeight="15720" tabRatio="832" firstSheet="1" activeTab="1" xr2:uid="{0E08DC27-77D5-4119-A2D0-23A28A0F15FD}"/>
  </bookViews>
  <sheets>
    <sheet name="Print Macro" sheetId="10" state="hidden" r:id="rId1"/>
    <sheet name="Resourced Provision" sheetId="8" r:id="rId2"/>
    <sheet name="MFG manual calculator " sheetId="28" state="hidden" r:id="rId3"/>
    <sheet name="MFG Auto Calculator" sheetId="17" r:id="rId4"/>
    <sheet name="HN Add Funding Worked Example" sheetId="31" state="hidden" r:id="rId5"/>
    <sheet name="Budget Shares" sheetId="4" state="hidden" r:id="rId6"/>
    <sheet name="Data" sheetId="7" state="hidden" r:id="rId7"/>
    <sheet name="APN" sheetId="20" state="hidden" r:id="rId8"/>
    <sheet name="Values" sheetId="5" state="hidden" r:id="rId9"/>
    <sheet name="Autumn term 2025" sheetId="35" state="hidden" r:id="rId10"/>
    <sheet name="2025-26 Budget Share" sheetId="33" state="hidden" r:id="rId11"/>
    <sheet name="NOR Special Units" sheetId="34" state="hidden" r:id="rId12"/>
    <sheet name="MFG" sheetId="16" state="hidden" r:id="rId13"/>
    <sheet name="25-26 MFG" sheetId="29" state="hidden" r:id="rId14"/>
  </sheets>
  <externalReferences>
    <externalReference r:id="rId15"/>
  </externalReferences>
  <definedNames>
    <definedName name="_xlnm._FilterDatabase" localSheetId="10" hidden="1">'2025-26 Budget Share'!$A$4:$Z$65</definedName>
    <definedName name="_xlnm._FilterDatabase" localSheetId="7" hidden="1">APN!$A$2:$R$97</definedName>
    <definedName name="_xlnm._FilterDatabase" localSheetId="9" hidden="1">'Autumn term 2025'!$A$3:$R$742</definedName>
    <definedName name="_xlnm._FilterDatabase" localSheetId="5" hidden="1">'Budget Shares'!$A$4:$AP$86</definedName>
    <definedName name="_xlnm._FilterDatabase" localSheetId="6" hidden="1">Data!$A$3:$AD$82</definedName>
    <definedName name="_xlnm._FilterDatabase" localSheetId="12" hidden="1">MFG!$A$8:$AC$86</definedName>
    <definedName name="_xlnm._FilterDatabase" localSheetId="11" hidden="1">'NOR Special Units'!$A$11:$XFC$85</definedName>
    <definedName name="_xlnm._FilterDatabase" localSheetId="8" hidden="1">Values!$B$3:$E$29</definedName>
    <definedName name="_Hlk60744814" localSheetId="8">Values!$N$26</definedName>
    <definedName name="acad" localSheetId="4">'[1]Special School'!$J$1</definedName>
    <definedName name="acad">'Resourced Provision'!$H$1</definedName>
    <definedName name="asc_pri">Values!$D$4</definedName>
    <definedName name="asc_sec">Values!$D$5</definedName>
    <definedName name="asd_pri">Values!$D$4</definedName>
    <definedName name="asd_sec">Values!$D$5</definedName>
    <definedName name="BESD_PRI" localSheetId="2">Values!#REF!</definedName>
    <definedName name="CODYHILL">[1]Values!$C$5</definedName>
    <definedName name="_xlnm.Criteria" localSheetId="5">'Budget Shares'!$F$84:$G$86</definedName>
    <definedName name="DFE">'[1]Special School'!$I$2</definedName>
    <definedName name="ESG">[1]Values!$C$8</definedName>
    <definedName name="ExceptForestParkOLDOLD">[1]Values!$E$12</definedName>
    <definedName name="EXCEPTIONALFORESTPARK">[1]Values!$C$12</definedName>
    <definedName name="EXCEPTIONALSAMUELCODY">[1]Values!$C$11:$C$11</definedName>
    <definedName name="ExceptSamCodyOLDOLD">[1]Values!$E$11</definedName>
    <definedName name="HI_PRI">Values!$D$8</definedName>
    <definedName name="HI_SEC">Values!$D$9</definedName>
    <definedName name="legacy">Values!$D$29</definedName>
    <definedName name="LUMPSUM">[1]Values!$C$9</definedName>
    <definedName name="LumpsumOLD">[1]Values!$D$9</definedName>
    <definedName name="LumpsumOLDOLD">[1]Values!$E$9</definedName>
    <definedName name="MLD_PRI">Values!$D$10</definedName>
    <definedName name="MLD_SEC">Values!$D$11</definedName>
    <definedName name="NA_PRI">Values!$D$12</definedName>
    <definedName name="NA_SEC">Values!$D$13</definedName>
    <definedName name="OAKMORE" localSheetId="4">[1]Values!$C$4</definedName>
    <definedName name="OAKMORE">Values!$D$14</definedName>
    <definedName name="OLE_LINK3" localSheetId="8">Values!$N$1</definedName>
    <definedName name="OUTREACH">[1]Values!$C$3</definedName>
    <definedName name="PD_SEC">Values!$D$15</definedName>
    <definedName name="PD_SEC_SMALL">Values!$D$16</definedName>
    <definedName name="place">Values!$D$17</definedName>
    <definedName name="PlaceNEW">[1]Values!$C$2</definedName>
    <definedName name="PlaceOld">[1]Values!$D$2</definedName>
    <definedName name="PlaceOldOld">[1]Values!$E$2</definedName>
    <definedName name="_xlnm.Print_Area" localSheetId="3">'MFG Auto Calculator'!$A$1:$G$49</definedName>
    <definedName name="_xlnm.Print_Area" localSheetId="2">'MFG manual calculator '!$A$1:$G$49</definedName>
    <definedName name="_xlnm.Print_Area" localSheetId="1">'Resourced Provision'!$A$1:$I$42</definedName>
    <definedName name="PrintArea">'Resourced Provision'!$A$8:$H$42</definedName>
    <definedName name="RESIDENTIAL1">[1]Values!$C$6</definedName>
    <definedName name="RESIDENTIAL2">[1]Values!$C$7</definedName>
    <definedName name="SEMH_PRI">Values!$D$6</definedName>
    <definedName name="SEMH_SEC">Values!$D$7</definedName>
    <definedName name="SIGN_PRI">Values!$D$18</definedName>
    <definedName name="SIGN_SEC">Values!$D$19</definedName>
    <definedName name="SLCN_PRI">Values!$D$20</definedName>
    <definedName name="SLCN_SEC">Values!$D$21</definedName>
    <definedName name="SLD_PRI">Values!$D$22</definedName>
    <definedName name="SPLD_SEC">Values!$D$23</definedName>
    <definedName name="SPLITSITE">[1]Values!$C$10</definedName>
    <definedName name="SplitsiteOLDOLD">[1]Values!$E$10</definedName>
    <definedName name="Step4">[1]Values!$C$13</definedName>
    <definedName name="step4OLD">[1]Values!$D$13</definedName>
    <definedName name="step4OLDOLD">[1]Values!$E$13</definedName>
    <definedName name="Step5">[1]Values!$C$14</definedName>
    <definedName name="step5OLD">[1]Values!$D$14</definedName>
    <definedName name="step5OLDOLD">[1]Values!$E$14</definedName>
    <definedName name="Step6">[1]Values!$C$15</definedName>
    <definedName name="step6OLD">[1]Values!$D$15</definedName>
    <definedName name="step6OLDOLD">[1]Values!$E$15</definedName>
    <definedName name="Step7">[1]Values!$C$16</definedName>
    <definedName name="step7OLD">[1]Values!$D$16</definedName>
    <definedName name="step7OLDOLD">[1]Values!$E$16</definedName>
    <definedName name="TACT_PRI">Values!$D$24</definedName>
    <definedName name="TACT_SEC">Values!$D$25</definedName>
    <definedName name="VI_PRI">Values!$D$26</definedName>
    <definedName name="VI_SEC">Values!$D$27</definedName>
  </definedNames>
  <calcPr calcId="191028"/>
  <pivotCaches>
    <pivotCache cacheId="0" r:id="rId16"/>
    <pivotCache cacheId="1"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4" l="1"/>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5" i="4"/>
  <c r="B23" i="8" l="1"/>
  <c r="AE7" i="34" l="1"/>
  <c r="AO60" i="35" l="1"/>
  <c r="AR60" i="35" s="1" a="1"/>
  <c r="AR60" i="35" s="1"/>
  <c r="AP60" i="35" a="1"/>
  <c r="AP60" i="35" s="1"/>
  <c r="AQ60" i="35" s="1" a="1"/>
  <c r="AQ60" i="35" s="1"/>
  <c r="AO58" i="35"/>
  <c r="AR58" i="35" s="1" a="1"/>
  <c r="AR58" i="35" s="1"/>
  <c r="AP58" i="35" a="1"/>
  <c r="AP58" i="35" s="1"/>
  <c r="AQ58" i="35" s="1" a="1"/>
  <c r="AQ58" i="35" s="1"/>
  <c r="AO59" i="35"/>
  <c r="AR59" i="35" s="1" a="1"/>
  <c r="AR59" i="35" s="1"/>
  <c r="AP59" i="35" a="1"/>
  <c r="AP59" i="35" s="1"/>
  <c r="AQ59" i="35" s="1" a="1"/>
  <c r="AQ59" i="35" s="1"/>
  <c r="AU60" i="35" l="1" a="1"/>
  <c r="AU60" i="35" s="1"/>
  <c r="AT60" i="35" a="1"/>
  <c r="AT60" i="35" s="1"/>
  <c r="AS60" i="35" a="1"/>
  <c r="AS60" i="35" s="1"/>
  <c r="AV60" i="35"/>
  <c r="AV59" i="35"/>
  <c r="AU59" i="35" a="1"/>
  <c r="AU59" i="35" s="1"/>
  <c r="AT59" i="35" a="1"/>
  <c r="AT59" i="35" s="1"/>
  <c r="AU58" i="35" a="1"/>
  <c r="AU58" i="35" s="1"/>
  <c r="AS59" i="35" a="1"/>
  <c r="AS59" i="35" s="1"/>
  <c r="AT58" i="35" a="1"/>
  <c r="AT58" i="35" s="1"/>
  <c r="AS58" i="35" a="1"/>
  <c r="AS58" i="35" s="1"/>
  <c r="AV58" i="35" l="1"/>
  <c r="G8" i="8" l="1"/>
  <c r="I99" i="20" l="1"/>
  <c r="J99" i="20"/>
  <c r="K99" i="20"/>
  <c r="L99" i="20"/>
  <c r="Q21" i="20" l="1"/>
  <c r="R21" i="20" s="1"/>
  <c r="Q24" i="20"/>
  <c r="R24" i="20" s="1"/>
  <c r="Q35" i="20"/>
  <c r="R35" i="20" s="1"/>
  <c r="Q40" i="20"/>
  <c r="R40" i="20" s="1"/>
  <c r="Q43" i="20"/>
  <c r="R43" i="20" s="1"/>
  <c r="Q54" i="20"/>
  <c r="R54" i="20" s="1"/>
  <c r="Q58" i="20"/>
  <c r="R58" i="20" s="1"/>
  <c r="Q64" i="20"/>
  <c r="R64" i="20" s="1"/>
  <c r="Q72" i="20"/>
  <c r="R72" i="20" s="1"/>
  <c r="Q74" i="20"/>
  <c r="R74" i="20" s="1"/>
  <c r="Q90" i="20"/>
  <c r="R90" i="20" s="1"/>
  <c r="Q92" i="20"/>
  <c r="R92" i="20" s="1"/>
  <c r="Q97" i="20"/>
  <c r="R97" i="20" s="1"/>
  <c r="Q4" i="20"/>
  <c r="R4" i="20" s="1"/>
  <c r="Q6" i="20"/>
  <c r="R6" i="20" s="1"/>
  <c r="Q7" i="20"/>
  <c r="R7" i="20" s="1"/>
  <c r="Q9" i="20"/>
  <c r="R9" i="20" s="1"/>
  <c r="G149" i="7"/>
  <c r="G150" i="7"/>
  <c r="G151" i="7"/>
  <c r="G152" i="7"/>
  <c r="G153" i="7"/>
  <c r="G154" i="7"/>
  <c r="G155" i="7"/>
  <c r="G156" i="7"/>
  <c r="G157" i="7"/>
  <c r="G158" i="7"/>
  <c r="G159" i="7"/>
  <c r="G160" i="7"/>
  <c r="G161" i="7"/>
  <c r="G162" i="7"/>
  <c r="G163" i="7"/>
  <c r="G164" i="7"/>
  <c r="P4" i="20" l="1"/>
  <c r="P5" i="20"/>
  <c r="P6" i="20"/>
  <c r="P7" i="20"/>
  <c r="P8" i="20"/>
  <c r="P9" i="20"/>
  <c r="P10" i="20"/>
  <c r="Q10" i="20" s="1"/>
  <c r="P11" i="20"/>
  <c r="Q11" i="20" s="1"/>
  <c r="P12" i="20"/>
  <c r="P13" i="20"/>
  <c r="P14" i="20"/>
  <c r="P15" i="20"/>
  <c r="P16" i="20"/>
  <c r="P17" i="20"/>
  <c r="P18" i="20"/>
  <c r="P19" i="20"/>
  <c r="P20" i="20"/>
  <c r="P21" i="20"/>
  <c r="P22" i="20"/>
  <c r="P23" i="20"/>
  <c r="P24" i="20"/>
  <c r="P25" i="20"/>
  <c r="P26" i="20"/>
  <c r="P27" i="20"/>
  <c r="P28" i="20"/>
  <c r="P29" i="20"/>
  <c r="P30" i="20"/>
  <c r="P31" i="2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P60" i="20"/>
  <c r="P61" i="20"/>
  <c r="P62" i="20"/>
  <c r="P63" i="20"/>
  <c r="P64" i="20"/>
  <c r="P65" i="20"/>
  <c r="P66" i="20"/>
  <c r="P67" i="20"/>
  <c r="P68" i="20"/>
  <c r="P69" i="20"/>
  <c r="P70" i="20"/>
  <c r="P71" i="20"/>
  <c r="P72" i="20"/>
  <c r="P73" i="20"/>
  <c r="P74" i="20"/>
  <c r="P75" i="20"/>
  <c r="P76" i="20"/>
  <c r="P77" i="20"/>
  <c r="P78" i="20"/>
  <c r="P79" i="20"/>
  <c r="P80" i="20"/>
  <c r="P81" i="20"/>
  <c r="P82" i="20"/>
  <c r="P83" i="20"/>
  <c r="P84" i="20"/>
  <c r="P85" i="20"/>
  <c r="P86" i="20"/>
  <c r="P87" i="20"/>
  <c r="P88" i="20"/>
  <c r="P89" i="20"/>
  <c r="P90" i="20"/>
  <c r="P91" i="20"/>
  <c r="P92" i="20"/>
  <c r="P93" i="20"/>
  <c r="P94" i="20"/>
  <c r="P95" i="20"/>
  <c r="P96" i="20"/>
  <c r="P97" i="20"/>
  <c r="P3" i="20"/>
  <c r="Q63" i="20" l="1"/>
  <c r="R63" i="20" s="1"/>
  <c r="R10" i="20"/>
  <c r="R11" i="20"/>
  <c r="Q39" i="20"/>
  <c r="F107" i="7" s="1"/>
  <c r="Q96" i="20"/>
  <c r="Q42" i="20"/>
  <c r="Q87" i="20"/>
  <c r="Q75" i="20"/>
  <c r="Q27" i="20"/>
  <c r="Q15" i="20"/>
  <c r="Q86" i="20"/>
  <c r="Q62" i="20"/>
  <c r="Q50" i="20"/>
  <c r="Q38" i="20"/>
  <c r="Q26" i="20"/>
  <c r="Q14" i="20"/>
  <c r="Q85" i="20"/>
  <c r="Q73" i="20"/>
  <c r="Q61" i="20"/>
  <c r="Q49" i="20"/>
  <c r="Q37" i="20"/>
  <c r="Q25" i="20"/>
  <c r="Q13" i="20"/>
  <c r="Q84" i="20"/>
  <c r="Q48" i="20"/>
  <c r="Q95" i="20"/>
  <c r="Q71" i="20"/>
  <c r="Q59" i="20"/>
  <c r="Q47" i="20"/>
  <c r="Q23" i="20"/>
  <c r="Q94" i="20"/>
  <c r="Q82" i="20"/>
  <c r="Q70" i="20"/>
  <c r="Q46" i="20"/>
  <c r="Q34" i="20"/>
  <c r="Q22" i="20"/>
  <c r="Q93" i="20"/>
  <c r="Q81" i="20"/>
  <c r="Q69" i="20"/>
  <c r="Q57" i="20"/>
  <c r="Q45" i="20"/>
  <c r="Q33" i="20"/>
  <c r="Q80" i="20"/>
  <c r="Q68" i="20"/>
  <c r="Q56" i="20"/>
  <c r="Q44" i="20"/>
  <c r="Q32" i="20"/>
  <c r="Q20" i="20"/>
  <c r="Q8" i="20"/>
  <c r="Q91" i="20"/>
  <c r="Q79" i="20"/>
  <c r="Q67" i="20"/>
  <c r="Q55" i="20"/>
  <c r="Q31" i="20"/>
  <c r="Q19" i="20"/>
  <c r="Q51" i="20"/>
  <c r="Q60" i="20"/>
  <c r="Q36" i="20"/>
  <c r="R12" i="20"/>
  <c r="Q83" i="20"/>
  <c r="Q78" i="20"/>
  <c r="Q66" i="20"/>
  <c r="Q30" i="20"/>
  <c r="Q18" i="20"/>
  <c r="Q89" i="20"/>
  <c r="Q77" i="20"/>
  <c r="Q65" i="20"/>
  <c r="Q53" i="20"/>
  <c r="Q41" i="20"/>
  <c r="Q29" i="20"/>
  <c r="Q17" i="20"/>
  <c r="Q5" i="20"/>
  <c r="Q88" i="20"/>
  <c r="Q76" i="20"/>
  <c r="Q52" i="20"/>
  <c r="Q28" i="20"/>
  <c r="Q16" i="20"/>
  <c r="F129" i="7"/>
  <c r="Q3" i="20"/>
  <c r="F124" i="7"/>
  <c r="F120" i="7"/>
  <c r="R56" i="20" l="1"/>
  <c r="R68" i="20"/>
  <c r="R61" i="20"/>
  <c r="R73" i="20"/>
  <c r="R55" i="20"/>
  <c r="R67" i="20"/>
  <c r="R14" i="20"/>
  <c r="R39" i="20"/>
  <c r="R70" i="20"/>
  <c r="R77" i="20"/>
  <c r="R89" i="20"/>
  <c r="R96" i="20"/>
  <c r="R52" i="20"/>
  <c r="R30" i="20"/>
  <c r="R79" i="20"/>
  <c r="R69" i="20"/>
  <c r="R71" i="20"/>
  <c r="R26" i="20"/>
  <c r="R37" i="20"/>
  <c r="R49" i="20"/>
  <c r="R80" i="20"/>
  <c r="R23" i="20"/>
  <c r="R47" i="20"/>
  <c r="R18" i="20"/>
  <c r="R76" i="20"/>
  <c r="R66" i="20"/>
  <c r="R91" i="20"/>
  <c r="R81" i="20"/>
  <c r="R95" i="20"/>
  <c r="R38" i="20"/>
  <c r="R60" i="20"/>
  <c r="R53" i="20"/>
  <c r="R75" i="20"/>
  <c r="R65" i="20"/>
  <c r="R87" i="20"/>
  <c r="R33" i="20"/>
  <c r="R16" i="20"/>
  <c r="R45" i="20"/>
  <c r="R28" i="20"/>
  <c r="R57" i="20"/>
  <c r="R88" i="20"/>
  <c r="R78" i="20"/>
  <c r="R93" i="20"/>
  <c r="R48" i="20"/>
  <c r="R50" i="20"/>
  <c r="R5" i="20"/>
  <c r="R83" i="20"/>
  <c r="R20" i="20"/>
  <c r="R22" i="20"/>
  <c r="R84" i="20"/>
  <c r="R62" i="20"/>
  <c r="R27" i="20"/>
  <c r="R82" i="20"/>
  <c r="R94" i="20"/>
  <c r="R42" i="20"/>
  <c r="R85" i="20"/>
  <c r="R59" i="20"/>
  <c r="R8" i="20"/>
  <c r="R17" i="20"/>
  <c r="R32" i="20"/>
  <c r="R34" i="20"/>
  <c r="R13" i="20"/>
  <c r="R86" i="20"/>
  <c r="R41" i="20"/>
  <c r="R51" i="20"/>
  <c r="R19" i="20"/>
  <c r="R31" i="20"/>
  <c r="R29" i="20"/>
  <c r="R36" i="20"/>
  <c r="R44" i="20"/>
  <c r="R46" i="20"/>
  <c r="R25" i="20"/>
  <c r="R15" i="20"/>
  <c r="F154" i="7"/>
  <c r="F125" i="7"/>
  <c r="F139" i="7"/>
  <c r="F119" i="7"/>
  <c r="F142" i="7"/>
  <c r="F106" i="7"/>
  <c r="F93" i="7"/>
  <c r="F156" i="7"/>
  <c r="F128" i="7"/>
  <c r="F87" i="7"/>
  <c r="F161" i="7"/>
  <c r="F127" i="7"/>
  <c r="F130" i="7"/>
  <c r="F110" i="7"/>
  <c r="F94" i="7"/>
  <c r="F99" i="7"/>
  <c r="F109" i="7"/>
  <c r="F103" i="7"/>
  <c r="F143" i="7"/>
  <c r="F89" i="7"/>
  <c r="F113" i="7"/>
  <c r="F157" i="7"/>
  <c r="F114" i="7"/>
  <c r="F141" i="7"/>
  <c r="F137" i="7"/>
  <c r="F133" i="7"/>
  <c r="F121" i="7"/>
  <c r="F90" i="7"/>
  <c r="F100" i="7"/>
  <c r="F135" i="7"/>
  <c r="F145" i="7"/>
  <c r="F138" i="7"/>
  <c r="F91" i="7"/>
  <c r="F134" i="7"/>
  <c r="F111" i="7"/>
  <c r="F112" i="7"/>
  <c r="F117" i="7"/>
  <c r="F151" i="7"/>
  <c r="F115" i="7"/>
  <c r="F132" i="7"/>
  <c r="F164" i="7"/>
  <c r="F126" i="7"/>
  <c r="F88" i="7"/>
  <c r="F92" i="7"/>
  <c r="F152" i="7"/>
  <c r="F104" i="7"/>
  <c r="F153" i="7"/>
  <c r="F136" i="7"/>
  <c r="F160" i="7"/>
  <c r="F146" i="7"/>
  <c r="F123" i="7"/>
  <c r="F131" i="7"/>
  <c r="F144" i="7"/>
  <c r="F122" i="7"/>
  <c r="F95" i="7"/>
  <c r="F162" i="7"/>
  <c r="F147" i="7"/>
  <c r="F155" i="7"/>
  <c r="F96" i="7"/>
  <c r="F149" i="7"/>
  <c r="F101" i="7"/>
  <c r="F150" i="7"/>
  <c r="F97" i="7"/>
  <c r="F148" i="7"/>
  <c r="F118" i="7"/>
  <c r="F105" i="7"/>
  <c r="F108" i="7"/>
  <c r="F159" i="7"/>
  <c r="F163" i="7"/>
  <c r="R3" i="20"/>
  <c r="F158" i="7"/>
  <c r="F98" i="7"/>
  <c r="F116" i="7"/>
  <c r="F102" i="7"/>
  <c r="F140" i="7"/>
  <c r="G25" i="8" l="1"/>
  <c r="G27" i="8"/>
  <c r="D29" i="5"/>
  <c r="W80" i="4" l="1"/>
  <c r="T80" i="4"/>
  <c r="F80" i="4"/>
  <c r="D80" i="4"/>
  <c r="C80" i="4"/>
  <c r="W79" i="4"/>
  <c r="T79" i="4"/>
  <c r="F79" i="4"/>
  <c r="D79" i="4"/>
  <c r="C79" i="4"/>
  <c r="W65" i="4"/>
  <c r="T65" i="4"/>
  <c r="F65" i="4"/>
  <c r="D65" i="4"/>
  <c r="C65" i="4"/>
  <c r="W59" i="4"/>
  <c r="T59" i="4"/>
  <c r="F59" i="4"/>
  <c r="D59" i="4"/>
  <c r="C59" i="4"/>
  <c r="W56" i="4"/>
  <c r="T56" i="4"/>
  <c r="F56" i="4"/>
  <c r="D56" i="4"/>
  <c r="C56" i="4"/>
  <c r="W55" i="4"/>
  <c r="T55" i="4"/>
  <c r="F55" i="4"/>
  <c r="D55" i="4"/>
  <c r="C55" i="4"/>
  <c r="W53" i="4"/>
  <c r="T53" i="4"/>
  <c r="F53" i="4"/>
  <c r="D53" i="4"/>
  <c r="C53" i="4"/>
  <c r="W52" i="4"/>
  <c r="T52" i="4"/>
  <c r="F52" i="4"/>
  <c r="D52" i="4"/>
  <c r="C52" i="4"/>
  <c r="W50" i="4"/>
  <c r="T50" i="4"/>
  <c r="F50" i="4"/>
  <c r="D50" i="4"/>
  <c r="C50" i="4"/>
  <c r="W32" i="4"/>
  <c r="T32" i="4"/>
  <c r="F32" i="4"/>
  <c r="D32" i="4"/>
  <c r="C32" i="4"/>
  <c r="W31" i="4"/>
  <c r="T31" i="4"/>
  <c r="F31" i="4"/>
  <c r="D31" i="4"/>
  <c r="C31" i="4"/>
  <c r="W29" i="4"/>
  <c r="T29" i="4"/>
  <c r="F29" i="4"/>
  <c r="D29" i="4"/>
  <c r="C29" i="4"/>
  <c r="W28" i="4"/>
  <c r="T28" i="4"/>
  <c r="F28" i="4"/>
  <c r="D28" i="4"/>
  <c r="C28" i="4"/>
  <c r="W26" i="4"/>
  <c r="T26" i="4"/>
  <c r="F26" i="4"/>
  <c r="D26" i="4"/>
  <c r="C26" i="4"/>
  <c r="W22" i="4"/>
  <c r="T22" i="4"/>
  <c r="F22" i="4"/>
  <c r="D22" i="4"/>
  <c r="C22" i="4"/>
  <c r="W21" i="4"/>
  <c r="T21" i="4"/>
  <c r="F21" i="4"/>
  <c r="D21" i="4"/>
  <c r="C21" i="4"/>
  <c r="W17" i="4"/>
  <c r="T17" i="4"/>
  <c r="F17" i="4"/>
  <c r="D17" i="4"/>
  <c r="C17" i="4"/>
  <c r="W16" i="4"/>
  <c r="T16" i="4"/>
  <c r="F16" i="4"/>
  <c r="D16" i="4"/>
  <c r="C16" i="4"/>
  <c r="W15" i="4"/>
  <c r="T15" i="4"/>
  <c r="F15" i="4"/>
  <c r="D15" i="4"/>
  <c r="C15" i="4"/>
  <c r="W14" i="4"/>
  <c r="T14" i="4"/>
  <c r="F14" i="4"/>
  <c r="D14" i="4"/>
  <c r="C14" i="4"/>
  <c r="W13" i="4"/>
  <c r="T13" i="4"/>
  <c r="F13" i="4"/>
  <c r="D13" i="4"/>
  <c r="C13" i="4"/>
  <c r="W10" i="4"/>
  <c r="T10" i="4"/>
  <c r="F10" i="4"/>
  <c r="D10" i="4"/>
  <c r="C10" i="4"/>
  <c r="D9" i="16" l="1"/>
  <c r="D10" i="16"/>
  <c r="D11" i="16"/>
  <c r="D12" i="16"/>
  <c r="D13" i="16"/>
  <c r="E13" i="16" s="1"/>
  <c r="D14" i="16"/>
  <c r="E14" i="16" s="1"/>
  <c r="D15" i="16"/>
  <c r="D16" i="16"/>
  <c r="E16" i="16" s="1"/>
  <c r="D17" i="16"/>
  <c r="F17" i="16" s="1"/>
  <c r="D18" i="16"/>
  <c r="E18" i="16" s="1"/>
  <c r="D19" i="16"/>
  <c r="D20" i="16"/>
  <c r="F20" i="16" s="1"/>
  <c r="D21" i="16"/>
  <c r="E21" i="16" s="1"/>
  <c r="D22" i="16"/>
  <c r="F22" i="16" s="1"/>
  <c r="D23" i="16"/>
  <c r="F23" i="16" s="1"/>
  <c r="D24" i="16"/>
  <c r="F24" i="16" s="1"/>
  <c r="D25" i="16"/>
  <c r="E25" i="16" s="1"/>
  <c r="D26" i="16"/>
  <c r="E26" i="16" s="1"/>
  <c r="D27" i="16"/>
  <c r="D28" i="16"/>
  <c r="F28" i="16" s="1"/>
  <c r="D29" i="16"/>
  <c r="F29" i="16" s="1"/>
  <c r="D30" i="16"/>
  <c r="E30" i="16" s="1"/>
  <c r="D31" i="16"/>
  <c r="E31" i="16" s="1"/>
  <c r="D32" i="16"/>
  <c r="E32" i="16" s="1"/>
  <c r="D33" i="16"/>
  <c r="E33" i="16" s="1"/>
  <c r="D34" i="16"/>
  <c r="F34" i="16" s="1"/>
  <c r="D35" i="16"/>
  <c r="F35" i="16" s="1"/>
  <c r="D36" i="16"/>
  <c r="E36" i="16" s="1"/>
  <c r="D37" i="16"/>
  <c r="F37" i="16" s="1"/>
  <c r="D38" i="16"/>
  <c r="D39" i="16"/>
  <c r="D40" i="16"/>
  <c r="F40" i="16" s="1"/>
  <c r="D41" i="16"/>
  <c r="F41" i="16" s="1"/>
  <c r="D42" i="16"/>
  <c r="E42" i="16" s="1"/>
  <c r="D43" i="16"/>
  <c r="E43" i="16" s="1"/>
  <c r="D44" i="16"/>
  <c r="E44" i="16" s="1"/>
  <c r="D45" i="16"/>
  <c r="E45" i="16" s="1"/>
  <c r="D46" i="16"/>
  <c r="E46" i="16" s="1"/>
  <c r="D47" i="16"/>
  <c r="E47" i="16" s="1"/>
  <c r="D48" i="16"/>
  <c r="E48" i="16" s="1"/>
  <c r="D49" i="16"/>
  <c r="E49" i="16" s="1"/>
  <c r="D50" i="16"/>
  <c r="F50" i="16" s="1"/>
  <c r="D51" i="16"/>
  <c r="E51" i="16" s="1"/>
  <c r="D52" i="16"/>
  <c r="F52" i="16" s="1"/>
  <c r="D53" i="16"/>
  <c r="F53" i="16" s="1"/>
  <c r="D54" i="16"/>
  <c r="E54" i="16" s="1"/>
  <c r="D55" i="16"/>
  <c r="D56" i="16"/>
  <c r="E56" i="16" s="1"/>
  <c r="D57" i="16"/>
  <c r="E57" i="16" s="1"/>
  <c r="D58" i="16"/>
  <c r="D59" i="16"/>
  <c r="E59" i="16" s="1"/>
  <c r="D60" i="16"/>
  <c r="F60" i="16" s="1"/>
  <c r="D61" i="16"/>
  <c r="E61" i="16" s="1"/>
  <c r="D62" i="16"/>
  <c r="E62" i="16" s="1"/>
  <c r="D63" i="16"/>
  <c r="E63" i="16" s="1"/>
  <c r="D64" i="16"/>
  <c r="E64" i="16" s="1"/>
  <c r="D65" i="16"/>
  <c r="F65" i="16" s="1"/>
  <c r="D66" i="16"/>
  <c r="E66" i="16" s="1"/>
  <c r="D67" i="16"/>
  <c r="E67" i="16" s="1"/>
  <c r="D68" i="16"/>
  <c r="D69" i="16"/>
  <c r="E69" i="16" s="1"/>
  <c r="D70" i="16"/>
  <c r="E70" i="16" s="1"/>
  <c r="D71" i="16"/>
  <c r="E71" i="16" s="1"/>
  <c r="D72" i="16"/>
  <c r="E72" i="16" s="1"/>
  <c r="D73" i="16"/>
  <c r="F73" i="16" s="1"/>
  <c r="D74" i="16"/>
  <c r="E74" i="16" s="1"/>
  <c r="D75" i="16"/>
  <c r="E75" i="16" s="1"/>
  <c r="D76" i="16"/>
  <c r="E76" i="16" s="1"/>
  <c r="D77" i="16"/>
  <c r="F77" i="16" s="1"/>
  <c r="D78" i="16"/>
  <c r="D79" i="16"/>
  <c r="E79" i="16" s="1"/>
  <c r="D80" i="16"/>
  <c r="F80" i="16" s="1"/>
  <c r="D81" i="16"/>
  <c r="E81" i="16" s="1"/>
  <c r="D82" i="16"/>
  <c r="F82" i="16" s="1"/>
  <c r="D83" i="16"/>
  <c r="E83" i="16" s="1"/>
  <c r="D84" i="16"/>
  <c r="E84" i="16" s="1"/>
  <c r="D85" i="16"/>
  <c r="F85" i="16" s="1"/>
  <c r="D8" i="16"/>
  <c r="C9" i="16"/>
  <c r="C10" i="16"/>
  <c r="C11" i="16"/>
  <c r="C12" i="16"/>
  <c r="C13" i="16"/>
  <c r="C14" i="16"/>
  <c r="C15" i="16"/>
  <c r="C16" i="16"/>
  <c r="C17" i="16"/>
  <c r="C18" i="16"/>
  <c r="C19" i="16"/>
  <c r="C20" i="16"/>
  <c r="C21" i="16"/>
  <c r="C22" i="16"/>
  <c r="C23" i="16"/>
  <c r="C24" i="16"/>
  <c r="C25" i="16"/>
  <c r="C26" i="16"/>
  <c r="C27"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 i="16"/>
  <c r="G13" i="16" a="1"/>
  <c r="G13" i="16" s="1"/>
  <c r="H13" i="16" a="1"/>
  <c r="H13" i="16" s="1"/>
  <c r="I13" i="16" a="1"/>
  <c r="I13" i="16" s="1"/>
  <c r="J13" i="16" a="1"/>
  <c r="J13" i="16" s="1"/>
  <c r="K13" i="16" a="1"/>
  <c r="K13" i="16" s="1"/>
  <c r="L13" i="16" a="1"/>
  <c r="L13" i="16" s="1"/>
  <c r="M13" i="16" a="1"/>
  <c r="M13" i="16" s="1"/>
  <c r="N13" i="16" a="1"/>
  <c r="N13" i="16" s="1"/>
  <c r="O13" i="16" a="1"/>
  <c r="O13" i="16" s="1"/>
  <c r="P13" i="16" a="1"/>
  <c r="P13" i="16" s="1"/>
  <c r="Q13" i="16" a="1"/>
  <c r="Q13" i="16" s="1"/>
  <c r="T13" i="16"/>
  <c r="U13" i="16"/>
  <c r="AF13" i="16"/>
  <c r="AG13" i="16"/>
  <c r="X13" i="16" s="1"/>
  <c r="G14" i="16" a="1"/>
  <c r="G14" i="16" s="1"/>
  <c r="H14" i="16" a="1"/>
  <c r="H14" i="16" s="1"/>
  <c r="I14" i="16" a="1"/>
  <c r="I14" i="16" s="1"/>
  <c r="J14" i="16" a="1"/>
  <c r="J14" i="16" s="1"/>
  <c r="K14" i="16" a="1"/>
  <c r="K14" i="16"/>
  <c r="L14" i="16" a="1"/>
  <c r="L14" i="16" s="1"/>
  <c r="M14" i="16" a="1"/>
  <c r="M14" i="16" s="1"/>
  <c r="N14" i="16" a="1"/>
  <c r="N14" i="16" s="1"/>
  <c r="O14" i="16" a="1"/>
  <c r="O14" i="16" s="1"/>
  <c r="P14" i="16" a="1"/>
  <c r="P14" i="16" s="1"/>
  <c r="Q14" i="16" a="1"/>
  <c r="Q14" i="16" s="1"/>
  <c r="T14" i="16"/>
  <c r="U14" i="16"/>
  <c r="AF14" i="16"/>
  <c r="AG14" i="16"/>
  <c r="X14" i="16" s="1"/>
  <c r="G15" i="16" a="1"/>
  <c r="G15" i="16" s="1"/>
  <c r="H15" i="16" a="1"/>
  <c r="H15" i="16" s="1"/>
  <c r="I15" i="16" a="1"/>
  <c r="I15" i="16" s="1"/>
  <c r="J15" i="16" a="1"/>
  <c r="J15" i="16" s="1"/>
  <c r="K15" i="16" a="1"/>
  <c r="K15" i="16" s="1"/>
  <c r="L15" i="16" a="1"/>
  <c r="L15" i="16" s="1"/>
  <c r="M15" i="16" a="1"/>
  <c r="M15" i="16" s="1"/>
  <c r="N15" i="16" a="1"/>
  <c r="N15" i="16" s="1"/>
  <c r="O15" i="16" a="1"/>
  <c r="O15" i="16" s="1"/>
  <c r="P15" i="16" a="1"/>
  <c r="P15" i="16" s="1"/>
  <c r="Q15" i="16" a="1"/>
  <c r="Q15" i="16" s="1"/>
  <c r="T15" i="16"/>
  <c r="U15" i="16"/>
  <c r="AF15" i="16"/>
  <c r="AG15" i="16"/>
  <c r="X15" i="16" s="1"/>
  <c r="G16" i="16" a="1"/>
  <c r="G16" i="16" s="1"/>
  <c r="H16" i="16" a="1"/>
  <c r="H16" i="16" s="1"/>
  <c r="I16" i="16" a="1"/>
  <c r="I16" i="16" s="1"/>
  <c r="J16" i="16" a="1"/>
  <c r="J16" i="16" s="1"/>
  <c r="K16" i="16" a="1"/>
  <c r="K16" i="16" s="1"/>
  <c r="L16" i="16" a="1"/>
  <c r="L16" i="16" s="1"/>
  <c r="M16" i="16" a="1"/>
  <c r="M16" i="16" s="1"/>
  <c r="N16" i="16" a="1"/>
  <c r="N16" i="16" s="1"/>
  <c r="O16" i="16" a="1"/>
  <c r="O16" i="16" s="1"/>
  <c r="P16" i="16" a="1"/>
  <c r="P16" i="16" s="1"/>
  <c r="Q16" i="16" a="1"/>
  <c r="Q16" i="16" s="1"/>
  <c r="T16" i="16"/>
  <c r="U16" i="16"/>
  <c r="AF16" i="16"/>
  <c r="AG16" i="16"/>
  <c r="X16" i="16" s="1"/>
  <c r="G17" i="16" a="1"/>
  <c r="G17" i="16" s="1"/>
  <c r="H17" i="16" a="1"/>
  <c r="H17" i="16" s="1"/>
  <c r="I17" i="16" a="1"/>
  <c r="I17" i="16" s="1"/>
  <c r="J17" i="16" a="1"/>
  <c r="J17" i="16" s="1"/>
  <c r="K17" i="16" a="1"/>
  <c r="K17" i="16" s="1"/>
  <c r="L17" i="16" a="1"/>
  <c r="L17" i="16" s="1"/>
  <c r="M17" i="16" a="1"/>
  <c r="M17" i="16" s="1"/>
  <c r="N17" i="16" a="1"/>
  <c r="N17" i="16" s="1"/>
  <c r="O17" i="16" a="1"/>
  <c r="O17" i="16" s="1"/>
  <c r="P17" i="16" a="1"/>
  <c r="P17" i="16" s="1"/>
  <c r="Q17" i="16" a="1"/>
  <c r="Q17" i="16" s="1"/>
  <c r="T17" i="16"/>
  <c r="U17" i="16"/>
  <c r="AF17" i="16"/>
  <c r="AG17" i="16"/>
  <c r="X17" i="16" s="1"/>
  <c r="G18" i="16" a="1"/>
  <c r="G18" i="16" s="1"/>
  <c r="H18" i="16" a="1"/>
  <c r="H18" i="16" s="1"/>
  <c r="I18" i="16" a="1"/>
  <c r="I18" i="16" s="1"/>
  <c r="J18" i="16" a="1"/>
  <c r="J18" i="16" s="1"/>
  <c r="K18" i="16" a="1"/>
  <c r="K18" i="16" s="1"/>
  <c r="L18" i="16" a="1"/>
  <c r="L18" i="16" s="1"/>
  <c r="M18" i="16" a="1"/>
  <c r="M18" i="16" s="1"/>
  <c r="N18" i="16" a="1"/>
  <c r="N18" i="16" s="1"/>
  <c r="O18" i="16" a="1"/>
  <c r="O18" i="16" s="1"/>
  <c r="P18" i="16" a="1"/>
  <c r="P18" i="16" s="1"/>
  <c r="Q18" i="16" a="1"/>
  <c r="Q18" i="16" s="1"/>
  <c r="T18" i="16"/>
  <c r="U18" i="16"/>
  <c r="AF18" i="16"/>
  <c r="AG18" i="16"/>
  <c r="X18" i="16" s="1"/>
  <c r="G19" i="16" a="1"/>
  <c r="G19" i="16" s="1"/>
  <c r="H19" i="16" a="1"/>
  <c r="H19" i="16" s="1"/>
  <c r="I19" i="16" a="1"/>
  <c r="I19" i="16" s="1"/>
  <c r="J19" i="16" a="1"/>
  <c r="J19" i="16" s="1"/>
  <c r="K19" i="16" a="1"/>
  <c r="K19" i="16" s="1"/>
  <c r="L19" i="16" a="1"/>
  <c r="L19" i="16" s="1"/>
  <c r="M19" i="16" a="1"/>
  <c r="M19" i="16" s="1"/>
  <c r="N19" i="16" a="1"/>
  <c r="N19" i="16" s="1"/>
  <c r="O19" i="16" a="1"/>
  <c r="O19" i="16" s="1"/>
  <c r="P19" i="16" a="1"/>
  <c r="P19" i="16" s="1"/>
  <c r="Q19" i="16" a="1"/>
  <c r="Q19" i="16" s="1"/>
  <c r="T19" i="16"/>
  <c r="U19" i="16"/>
  <c r="AF19" i="16"/>
  <c r="AG19" i="16"/>
  <c r="X19" i="16" s="1"/>
  <c r="G20" i="16" a="1"/>
  <c r="G20" i="16" s="1"/>
  <c r="H20" i="16" a="1"/>
  <c r="H20" i="16" s="1"/>
  <c r="I20" i="16" a="1"/>
  <c r="I20" i="16" s="1"/>
  <c r="J20" i="16" a="1"/>
  <c r="J20" i="16" s="1"/>
  <c r="K20" i="16" a="1"/>
  <c r="K20" i="16" s="1"/>
  <c r="L20" i="16" a="1"/>
  <c r="L20" i="16" s="1"/>
  <c r="M20" i="16" a="1"/>
  <c r="M20" i="16" s="1"/>
  <c r="N20" i="16" a="1"/>
  <c r="N20" i="16" s="1"/>
  <c r="O20" i="16" a="1"/>
  <c r="O20" i="16" s="1"/>
  <c r="P20" i="16" a="1"/>
  <c r="P20" i="16" s="1"/>
  <c r="Q20" i="16" a="1"/>
  <c r="Q20" i="16" s="1"/>
  <c r="T20" i="16"/>
  <c r="U20" i="16"/>
  <c r="AF20" i="16"/>
  <c r="AG20" i="16"/>
  <c r="X20" i="16" s="1"/>
  <c r="G21" i="16" a="1"/>
  <c r="G21" i="16" s="1"/>
  <c r="H21" i="16" a="1"/>
  <c r="H21" i="16" s="1"/>
  <c r="I21" i="16" a="1"/>
  <c r="I21" i="16" s="1"/>
  <c r="J21" i="16" a="1"/>
  <c r="J21" i="16" s="1"/>
  <c r="K21" i="16" a="1"/>
  <c r="K21" i="16" s="1"/>
  <c r="L21" i="16" a="1"/>
  <c r="L21" i="16" s="1"/>
  <c r="M21" i="16" a="1"/>
  <c r="M21" i="16" s="1"/>
  <c r="N21" i="16" a="1"/>
  <c r="N21" i="16" s="1"/>
  <c r="O21" i="16" a="1"/>
  <c r="O21" i="16" s="1"/>
  <c r="P21" i="16" a="1"/>
  <c r="P21" i="16" s="1"/>
  <c r="Q21" i="16" a="1"/>
  <c r="Q21" i="16" s="1"/>
  <c r="T21" i="16"/>
  <c r="U21" i="16"/>
  <c r="AF21" i="16"/>
  <c r="AG21" i="16"/>
  <c r="X21" i="16" s="1"/>
  <c r="G22" i="16" a="1"/>
  <c r="G22" i="16" s="1"/>
  <c r="H22" i="16" a="1"/>
  <c r="H22" i="16" s="1"/>
  <c r="I22" i="16" a="1"/>
  <c r="I22" i="16" s="1"/>
  <c r="J22" i="16" a="1"/>
  <c r="J22" i="16" s="1"/>
  <c r="K22" i="16" a="1"/>
  <c r="K22" i="16" s="1"/>
  <c r="L22" i="16" a="1"/>
  <c r="L22" i="16" s="1"/>
  <c r="M22" i="16" a="1"/>
  <c r="M22" i="16" s="1"/>
  <c r="N22" i="16" a="1"/>
  <c r="N22" i="16" s="1"/>
  <c r="O22" i="16" a="1"/>
  <c r="O22" i="16" s="1"/>
  <c r="P22" i="16" a="1"/>
  <c r="P22" i="16" s="1"/>
  <c r="Q22" i="16" a="1"/>
  <c r="Q22" i="16" s="1"/>
  <c r="T22" i="16"/>
  <c r="U22" i="16"/>
  <c r="AF22" i="16"/>
  <c r="AG22" i="16"/>
  <c r="X22" i="16" s="1"/>
  <c r="G23" i="16" a="1"/>
  <c r="G23" i="16" s="1"/>
  <c r="H23" i="16" a="1"/>
  <c r="H23" i="16" s="1"/>
  <c r="I23" i="16" a="1"/>
  <c r="I23" i="16" s="1"/>
  <c r="J23" i="16" a="1"/>
  <c r="J23" i="16" s="1"/>
  <c r="K23" i="16" a="1"/>
  <c r="K23" i="16" s="1"/>
  <c r="L23" i="16" a="1"/>
  <c r="L23" i="16" s="1"/>
  <c r="M23" i="16" a="1"/>
  <c r="M23" i="16" s="1"/>
  <c r="N23" i="16" a="1"/>
  <c r="N23" i="16" s="1"/>
  <c r="O23" i="16" a="1"/>
  <c r="O23" i="16"/>
  <c r="P23" i="16" a="1"/>
  <c r="P23" i="16" s="1"/>
  <c r="Q23" i="16" a="1"/>
  <c r="Q23" i="16" s="1"/>
  <c r="T23" i="16"/>
  <c r="U23" i="16"/>
  <c r="AF23" i="16"/>
  <c r="AG23" i="16"/>
  <c r="X23" i="16" s="1"/>
  <c r="G24" i="16" a="1"/>
  <c r="G24" i="16" s="1"/>
  <c r="H24" i="16" a="1"/>
  <c r="H24" i="16" s="1"/>
  <c r="I24" i="16" a="1"/>
  <c r="I24" i="16" s="1"/>
  <c r="J24" i="16" a="1"/>
  <c r="J24" i="16" s="1"/>
  <c r="K24" i="16" a="1"/>
  <c r="K24" i="16" s="1"/>
  <c r="L24" i="16" a="1"/>
  <c r="L24" i="16" s="1"/>
  <c r="M24" i="16" a="1"/>
  <c r="M24" i="16" s="1"/>
  <c r="N24" i="16" a="1"/>
  <c r="N24" i="16" s="1"/>
  <c r="O24" i="16" a="1"/>
  <c r="O24" i="16" s="1"/>
  <c r="P24" i="16" a="1"/>
  <c r="P24" i="16" s="1"/>
  <c r="Q24" i="16" a="1"/>
  <c r="Q24" i="16" s="1"/>
  <c r="T24" i="16"/>
  <c r="U24" i="16"/>
  <c r="AF24" i="16"/>
  <c r="AG24" i="16"/>
  <c r="X24" i="16" s="1"/>
  <c r="G25" i="16" a="1"/>
  <c r="G25" i="16" s="1"/>
  <c r="H25" i="16" a="1"/>
  <c r="H25" i="16" s="1"/>
  <c r="I25" i="16" a="1"/>
  <c r="I25" i="16" s="1"/>
  <c r="J25" i="16" a="1"/>
  <c r="J25" i="16" s="1"/>
  <c r="K25" i="16" a="1"/>
  <c r="K25" i="16" s="1"/>
  <c r="L25" i="16" a="1"/>
  <c r="L25" i="16" s="1"/>
  <c r="M25" i="16" a="1"/>
  <c r="M25" i="16" s="1"/>
  <c r="N25" i="16" a="1"/>
  <c r="N25" i="16" s="1"/>
  <c r="O25" i="16" a="1"/>
  <c r="O25" i="16" s="1"/>
  <c r="P25" i="16" a="1"/>
  <c r="P25" i="16" s="1"/>
  <c r="Q25" i="16" a="1"/>
  <c r="Q25" i="16" s="1"/>
  <c r="T25" i="16"/>
  <c r="U25" i="16"/>
  <c r="AF25" i="16"/>
  <c r="AG25" i="16"/>
  <c r="X25" i="16" s="1"/>
  <c r="G26" i="16" a="1"/>
  <c r="G26" i="16" s="1"/>
  <c r="H26" i="16" a="1"/>
  <c r="H26" i="16" s="1"/>
  <c r="I26" i="16" a="1"/>
  <c r="I26" i="16" s="1"/>
  <c r="J26" i="16" a="1"/>
  <c r="J26" i="16" s="1"/>
  <c r="K26" i="16" a="1"/>
  <c r="K26" i="16" s="1"/>
  <c r="L26" i="16" a="1"/>
  <c r="L26" i="16" s="1"/>
  <c r="M26" i="16" a="1"/>
  <c r="M26" i="16" s="1"/>
  <c r="N26" i="16" a="1"/>
  <c r="N26" i="16" s="1"/>
  <c r="O26" i="16" a="1"/>
  <c r="O26" i="16" s="1"/>
  <c r="P26" i="16" a="1"/>
  <c r="P26" i="16" s="1"/>
  <c r="Q26" i="16" a="1"/>
  <c r="Q26" i="16" s="1"/>
  <c r="T26" i="16"/>
  <c r="U26" i="16"/>
  <c r="AF26" i="16"/>
  <c r="AG26" i="16"/>
  <c r="X26" i="16" s="1"/>
  <c r="G27" i="16" a="1"/>
  <c r="G27" i="16" s="1"/>
  <c r="H27" i="16" a="1"/>
  <c r="H27" i="16" s="1"/>
  <c r="I27" i="16" a="1"/>
  <c r="I27" i="16" s="1"/>
  <c r="J27" i="16" a="1"/>
  <c r="J27" i="16" s="1"/>
  <c r="K27" i="16" a="1"/>
  <c r="K27" i="16" s="1"/>
  <c r="L27" i="16" a="1"/>
  <c r="L27" i="16" s="1"/>
  <c r="M27" i="16" a="1"/>
  <c r="M27" i="16" s="1"/>
  <c r="N27" i="16" a="1"/>
  <c r="N27" i="16" s="1"/>
  <c r="O27" i="16" a="1"/>
  <c r="O27" i="16" s="1"/>
  <c r="P27" i="16" a="1"/>
  <c r="P27" i="16" s="1"/>
  <c r="Q27" i="16" a="1"/>
  <c r="Q27" i="16" s="1"/>
  <c r="T27" i="16"/>
  <c r="U27" i="16"/>
  <c r="AF27" i="16"/>
  <c r="AG27" i="16"/>
  <c r="X27" i="16" s="1"/>
  <c r="G28" i="16" a="1"/>
  <c r="G28" i="16" s="1"/>
  <c r="H28" i="16" a="1"/>
  <c r="H28" i="16" s="1"/>
  <c r="I28" i="16" a="1"/>
  <c r="I28" i="16" s="1"/>
  <c r="J28" i="16" a="1"/>
  <c r="J28" i="16" s="1"/>
  <c r="K28" i="16" a="1"/>
  <c r="K28" i="16" s="1"/>
  <c r="L28" i="16" a="1"/>
  <c r="L28" i="16" s="1"/>
  <c r="M28" i="16" a="1"/>
  <c r="M28" i="16" s="1"/>
  <c r="N28" i="16" a="1"/>
  <c r="N28" i="16" s="1"/>
  <c r="O28" i="16" a="1"/>
  <c r="O28" i="16" s="1"/>
  <c r="P28" i="16" a="1"/>
  <c r="P28" i="16" s="1"/>
  <c r="Q28" i="16" a="1"/>
  <c r="Q28" i="16" s="1"/>
  <c r="T28" i="16"/>
  <c r="U28" i="16"/>
  <c r="AF28" i="16"/>
  <c r="AG28" i="16"/>
  <c r="X28" i="16" s="1"/>
  <c r="G29" i="16" a="1"/>
  <c r="G29" i="16" s="1"/>
  <c r="H29" i="16" a="1"/>
  <c r="H29" i="16" s="1"/>
  <c r="I29" i="16" a="1"/>
  <c r="I29" i="16" s="1"/>
  <c r="J29" i="16" a="1"/>
  <c r="J29" i="16" s="1"/>
  <c r="K29" i="16" a="1"/>
  <c r="K29" i="16" s="1"/>
  <c r="L29" i="16" a="1"/>
  <c r="L29" i="16" s="1"/>
  <c r="M29" i="16" a="1"/>
  <c r="M29" i="16" s="1"/>
  <c r="N29" i="16" a="1"/>
  <c r="N29" i="16" s="1"/>
  <c r="O29" i="16" a="1"/>
  <c r="O29" i="16" s="1"/>
  <c r="P29" i="16" a="1"/>
  <c r="P29" i="16" s="1"/>
  <c r="Q29" i="16" a="1"/>
  <c r="Q29" i="16" s="1"/>
  <c r="T29" i="16"/>
  <c r="U29" i="16"/>
  <c r="AF29" i="16"/>
  <c r="AG29" i="16"/>
  <c r="X29" i="16" s="1"/>
  <c r="G30" i="16" a="1"/>
  <c r="G30" i="16" s="1"/>
  <c r="H30" i="16" a="1"/>
  <c r="H30" i="16" s="1"/>
  <c r="I30" i="16" a="1"/>
  <c r="I30" i="16" s="1"/>
  <c r="J30" i="16" a="1"/>
  <c r="J30" i="16" s="1"/>
  <c r="K30" i="16" a="1"/>
  <c r="K30" i="16" s="1"/>
  <c r="L30" i="16" a="1"/>
  <c r="L30" i="16" s="1"/>
  <c r="M30" i="16" a="1"/>
  <c r="M30" i="16" s="1"/>
  <c r="N30" i="16" a="1"/>
  <c r="N30" i="16" s="1"/>
  <c r="O30" i="16" a="1"/>
  <c r="O30" i="16" s="1"/>
  <c r="P30" i="16" a="1"/>
  <c r="P30" i="16" s="1"/>
  <c r="Q30" i="16" a="1"/>
  <c r="Q30" i="16" s="1"/>
  <c r="T30" i="16"/>
  <c r="U30" i="16"/>
  <c r="AF30" i="16"/>
  <c r="AG30" i="16"/>
  <c r="X30" i="16" s="1"/>
  <c r="G31" i="16" a="1"/>
  <c r="G31" i="16" s="1"/>
  <c r="H31" i="16" a="1"/>
  <c r="H31" i="16" s="1"/>
  <c r="I31" i="16" a="1"/>
  <c r="I31" i="16" s="1"/>
  <c r="J31" i="16" a="1"/>
  <c r="J31" i="16" s="1"/>
  <c r="K31" i="16" a="1"/>
  <c r="K31" i="16" s="1"/>
  <c r="L31" i="16" a="1"/>
  <c r="L31" i="16" s="1"/>
  <c r="M31" i="16" a="1"/>
  <c r="M31" i="16" s="1"/>
  <c r="N31" i="16" a="1"/>
  <c r="N31" i="16" s="1"/>
  <c r="O31" i="16" a="1"/>
  <c r="O31" i="16" s="1"/>
  <c r="P31" i="16" a="1"/>
  <c r="P31" i="16" s="1"/>
  <c r="Q31" i="16" a="1"/>
  <c r="Q31" i="16" s="1"/>
  <c r="T31" i="16"/>
  <c r="U31" i="16"/>
  <c r="AF31" i="16"/>
  <c r="AG31" i="16"/>
  <c r="X31" i="16" s="1"/>
  <c r="G32" i="16" a="1"/>
  <c r="G32" i="16" s="1"/>
  <c r="H32" i="16" a="1"/>
  <c r="H32" i="16" s="1"/>
  <c r="I32" i="16" a="1"/>
  <c r="I32" i="16" s="1"/>
  <c r="J32" i="16" a="1"/>
  <c r="J32" i="16" s="1"/>
  <c r="K32" i="16" a="1"/>
  <c r="K32" i="16" s="1"/>
  <c r="L32" i="16" a="1"/>
  <c r="L32" i="16" s="1"/>
  <c r="M32" i="16" a="1"/>
  <c r="M32" i="16" s="1"/>
  <c r="N32" i="16" a="1"/>
  <c r="N32" i="16" s="1"/>
  <c r="O32" i="16" a="1"/>
  <c r="O32" i="16" s="1"/>
  <c r="P32" i="16" a="1"/>
  <c r="P32" i="16" s="1"/>
  <c r="Q32" i="16" a="1"/>
  <c r="Q32" i="16" s="1"/>
  <c r="T32" i="16"/>
  <c r="U32" i="16"/>
  <c r="AF32" i="16"/>
  <c r="AG32" i="16"/>
  <c r="X32" i="16" s="1"/>
  <c r="G33" i="16" a="1"/>
  <c r="G33" i="16" s="1"/>
  <c r="H33" i="16" a="1"/>
  <c r="H33" i="16" s="1"/>
  <c r="I33" i="16" a="1"/>
  <c r="I33" i="16" s="1"/>
  <c r="J33" i="16" a="1"/>
  <c r="J33" i="16" s="1"/>
  <c r="K33" i="16" a="1"/>
  <c r="K33" i="16" s="1"/>
  <c r="L33" i="16" a="1"/>
  <c r="L33" i="16" s="1"/>
  <c r="M33" i="16" a="1"/>
  <c r="M33" i="16" s="1"/>
  <c r="N33" i="16" a="1"/>
  <c r="N33" i="16" s="1"/>
  <c r="O33" i="16" a="1"/>
  <c r="O33" i="16" s="1"/>
  <c r="P33" i="16" a="1"/>
  <c r="P33" i="16" s="1"/>
  <c r="Q33" i="16" a="1"/>
  <c r="Q33" i="16" s="1"/>
  <c r="T33" i="16"/>
  <c r="U33" i="16"/>
  <c r="AF33" i="16"/>
  <c r="AG33" i="16"/>
  <c r="X33" i="16" s="1"/>
  <c r="G34" i="16" a="1"/>
  <c r="G34" i="16" s="1"/>
  <c r="H34" i="16" a="1"/>
  <c r="H34" i="16" s="1"/>
  <c r="I34" i="16" a="1"/>
  <c r="I34" i="16" s="1"/>
  <c r="J34" i="16" a="1"/>
  <c r="J34" i="16" s="1"/>
  <c r="K34" i="16" a="1"/>
  <c r="K34" i="16" s="1"/>
  <c r="L34" i="16" a="1"/>
  <c r="L34" i="16" s="1"/>
  <c r="M34" i="16" a="1"/>
  <c r="M34" i="16" s="1"/>
  <c r="N34" i="16" a="1"/>
  <c r="N34" i="16" s="1"/>
  <c r="O34" i="16" a="1"/>
  <c r="O34" i="16" s="1"/>
  <c r="P34" i="16" a="1"/>
  <c r="P34" i="16" s="1"/>
  <c r="Q34" i="16" a="1"/>
  <c r="Q34" i="16" s="1"/>
  <c r="T34" i="16"/>
  <c r="U34" i="16"/>
  <c r="AF34" i="16"/>
  <c r="AG34" i="16"/>
  <c r="X34" i="16" s="1"/>
  <c r="G35" i="16" a="1"/>
  <c r="G35" i="16" s="1"/>
  <c r="H35" i="16" a="1"/>
  <c r="H35" i="16" s="1"/>
  <c r="I35" i="16" a="1"/>
  <c r="I35" i="16" s="1"/>
  <c r="J35" i="16" a="1"/>
  <c r="J35" i="16" s="1"/>
  <c r="K35" i="16" a="1"/>
  <c r="K35" i="16" s="1"/>
  <c r="L35" i="16" a="1"/>
  <c r="L35" i="16" s="1"/>
  <c r="M35" i="16" a="1"/>
  <c r="M35" i="16" s="1"/>
  <c r="N35" i="16" a="1"/>
  <c r="N35" i="16" s="1"/>
  <c r="O35" i="16" a="1"/>
  <c r="O35" i="16" s="1"/>
  <c r="P35" i="16" a="1"/>
  <c r="P35" i="16" s="1"/>
  <c r="Q35" i="16" a="1"/>
  <c r="Q35" i="16" s="1"/>
  <c r="T35" i="16"/>
  <c r="U35" i="16"/>
  <c r="AF35" i="16"/>
  <c r="AG35" i="16"/>
  <c r="X35" i="16" s="1"/>
  <c r="G36" i="16" a="1"/>
  <c r="G36" i="16" s="1"/>
  <c r="H36" i="16" a="1"/>
  <c r="H36" i="16" s="1"/>
  <c r="I36" i="16" a="1"/>
  <c r="I36" i="16" s="1"/>
  <c r="J36" i="16" a="1"/>
  <c r="J36" i="16" s="1"/>
  <c r="K36" i="16" a="1"/>
  <c r="K36" i="16" s="1"/>
  <c r="L36" i="16" a="1"/>
  <c r="L36" i="16" s="1"/>
  <c r="M36" i="16" a="1"/>
  <c r="M36" i="16" s="1"/>
  <c r="N36" i="16" a="1"/>
  <c r="N36" i="16" s="1"/>
  <c r="O36" i="16" a="1"/>
  <c r="O36" i="16" s="1"/>
  <c r="P36" i="16" a="1"/>
  <c r="P36" i="16" s="1"/>
  <c r="Q36" i="16" a="1"/>
  <c r="Q36" i="16" s="1"/>
  <c r="T36" i="16"/>
  <c r="U36" i="16"/>
  <c r="AF36" i="16"/>
  <c r="AG36" i="16"/>
  <c r="X36" i="16" s="1"/>
  <c r="G37" i="16" a="1"/>
  <c r="G37" i="16" s="1"/>
  <c r="H37" i="16" a="1"/>
  <c r="H37" i="16" s="1"/>
  <c r="I37" i="16" a="1"/>
  <c r="I37" i="16" s="1"/>
  <c r="J37" i="16" a="1"/>
  <c r="J37" i="16" s="1"/>
  <c r="K37" i="16" a="1"/>
  <c r="K37" i="16" s="1"/>
  <c r="L37" i="16" a="1"/>
  <c r="L37" i="16" s="1"/>
  <c r="M37" i="16" a="1"/>
  <c r="M37" i="16" s="1"/>
  <c r="N37" i="16" a="1"/>
  <c r="N37" i="16" s="1"/>
  <c r="O37" i="16" a="1"/>
  <c r="O37" i="16" s="1"/>
  <c r="P37" i="16" a="1"/>
  <c r="P37" i="16" s="1"/>
  <c r="Q37" i="16" a="1"/>
  <c r="Q37" i="16" s="1"/>
  <c r="T37" i="16"/>
  <c r="U37" i="16"/>
  <c r="AF37" i="16"/>
  <c r="AG37" i="16"/>
  <c r="X37" i="16" s="1"/>
  <c r="G38" i="16" a="1"/>
  <c r="G38" i="16" s="1"/>
  <c r="H38" i="16" a="1"/>
  <c r="H38" i="16" s="1"/>
  <c r="I38" i="16" a="1"/>
  <c r="I38" i="16" s="1"/>
  <c r="J38" i="16" a="1"/>
  <c r="J38" i="16" s="1"/>
  <c r="K38" i="16" a="1"/>
  <c r="K38" i="16" s="1"/>
  <c r="L38" i="16" a="1"/>
  <c r="L38" i="16" s="1"/>
  <c r="M38" i="16" a="1"/>
  <c r="M38" i="16" s="1"/>
  <c r="N38" i="16" a="1"/>
  <c r="N38" i="16" s="1"/>
  <c r="O38" i="16" a="1"/>
  <c r="O38" i="16" s="1"/>
  <c r="P38" i="16" a="1"/>
  <c r="P38" i="16" s="1"/>
  <c r="Q38" i="16" a="1"/>
  <c r="Q38" i="16" s="1"/>
  <c r="T38" i="16"/>
  <c r="U38" i="16"/>
  <c r="AF38" i="16"/>
  <c r="AG38" i="16"/>
  <c r="X38" i="16" s="1"/>
  <c r="G39" i="16" a="1"/>
  <c r="G39" i="16" s="1"/>
  <c r="H39" i="16" a="1"/>
  <c r="H39" i="16" s="1"/>
  <c r="I39" i="16" a="1"/>
  <c r="I39" i="16" s="1"/>
  <c r="J39" i="16" a="1"/>
  <c r="J39" i="16" s="1"/>
  <c r="K39" i="16" a="1"/>
  <c r="K39" i="16" s="1"/>
  <c r="L39" i="16" a="1"/>
  <c r="L39" i="16" s="1"/>
  <c r="M39" i="16" a="1"/>
  <c r="M39" i="16" s="1"/>
  <c r="N39" i="16" a="1"/>
  <c r="N39" i="16" s="1"/>
  <c r="O39" i="16" a="1"/>
  <c r="O39" i="16" s="1"/>
  <c r="P39" i="16" a="1"/>
  <c r="P39" i="16" s="1"/>
  <c r="Q39" i="16" a="1"/>
  <c r="Q39" i="16" s="1"/>
  <c r="T39" i="16"/>
  <c r="U39" i="16"/>
  <c r="AF39" i="16"/>
  <c r="AG39" i="16"/>
  <c r="X39" i="16" s="1"/>
  <c r="G40" i="16" a="1"/>
  <c r="G40" i="16" s="1"/>
  <c r="H40" i="16" a="1"/>
  <c r="H40" i="16" s="1"/>
  <c r="I40" i="16" a="1"/>
  <c r="I40" i="16" s="1"/>
  <c r="J40" i="16" a="1"/>
  <c r="J40" i="16" s="1"/>
  <c r="K40" i="16" a="1"/>
  <c r="K40" i="16" s="1"/>
  <c r="L40" i="16" a="1"/>
  <c r="L40" i="16" s="1"/>
  <c r="M40" i="16" a="1"/>
  <c r="M40" i="16" s="1"/>
  <c r="N40" i="16" a="1"/>
  <c r="N40" i="16" s="1"/>
  <c r="O40" i="16" a="1"/>
  <c r="O40" i="16" s="1"/>
  <c r="P40" i="16" a="1"/>
  <c r="P40" i="16" s="1"/>
  <c r="Q40" i="16" a="1"/>
  <c r="Q40" i="16" s="1"/>
  <c r="T40" i="16"/>
  <c r="U40" i="16"/>
  <c r="AF40" i="16"/>
  <c r="AG40" i="16"/>
  <c r="X40" i="16" s="1"/>
  <c r="G41" i="16" a="1"/>
  <c r="G41" i="16" s="1"/>
  <c r="H41" i="16" a="1"/>
  <c r="H41" i="16" s="1"/>
  <c r="I41" i="16" a="1"/>
  <c r="I41" i="16" s="1"/>
  <c r="J41" i="16" a="1"/>
  <c r="J41" i="16" s="1"/>
  <c r="K41" i="16" a="1"/>
  <c r="K41" i="16" s="1"/>
  <c r="L41" i="16" a="1"/>
  <c r="L41" i="16" s="1"/>
  <c r="M41" i="16" a="1"/>
  <c r="M41" i="16" s="1"/>
  <c r="N41" i="16" a="1"/>
  <c r="N41" i="16" s="1"/>
  <c r="O41" i="16" a="1"/>
  <c r="O41" i="16" s="1"/>
  <c r="P41" i="16" a="1"/>
  <c r="P41" i="16" s="1"/>
  <c r="Q41" i="16" a="1"/>
  <c r="Q41" i="16" s="1"/>
  <c r="T41" i="16"/>
  <c r="U41" i="16"/>
  <c r="AF41" i="16"/>
  <c r="AG41" i="16"/>
  <c r="X41" i="16" s="1"/>
  <c r="G42" i="16" a="1"/>
  <c r="G42" i="16" s="1"/>
  <c r="H42" i="16" a="1"/>
  <c r="H42" i="16" s="1"/>
  <c r="I42" i="16" a="1"/>
  <c r="I42" i="16" s="1"/>
  <c r="J42" i="16" a="1"/>
  <c r="J42" i="16" s="1"/>
  <c r="K42" i="16" a="1"/>
  <c r="K42" i="16" s="1"/>
  <c r="L42" i="16" a="1"/>
  <c r="L42" i="16" s="1"/>
  <c r="M42" i="16" a="1"/>
  <c r="M42" i="16" s="1"/>
  <c r="N42" i="16" a="1"/>
  <c r="N42" i="16" s="1"/>
  <c r="O42" i="16" a="1"/>
  <c r="O42" i="16" s="1"/>
  <c r="P42" i="16" a="1"/>
  <c r="P42" i="16" s="1"/>
  <c r="Q42" i="16" a="1"/>
  <c r="Q42" i="16" s="1"/>
  <c r="T42" i="16"/>
  <c r="U42" i="16"/>
  <c r="AF42" i="16"/>
  <c r="AG42" i="16"/>
  <c r="X42" i="16" s="1"/>
  <c r="G43" i="16" a="1"/>
  <c r="G43" i="16" s="1"/>
  <c r="H43" i="16" a="1"/>
  <c r="H43" i="16" s="1"/>
  <c r="I43" i="16" a="1"/>
  <c r="I43" i="16" s="1"/>
  <c r="J43" i="16" a="1"/>
  <c r="J43" i="16" s="1"/>
  <c r="K43" i="16" a="1"/>
  <c r="K43" i="16" s="1"/>
  <c r="L43" i="16" a="1"/>
  <c r="L43" i="16" s="1"/>
  <c r="M43" i="16" a="1"/>
  <c r="M43" i="16" s="1"/>
  <c r="N43" i="16" a="1"/>
  <c r="N43" i="16" s="1"/>
  <c r="O43" i="16" a="1"/>
  <c r="O43" i="16" s="1"/>
  <c r="P43" i="16" a="1"/>
  <c r="P43" i="16" s="1"/>
  <c r="Q43" i="16" a="1"/>
  <c r="Q43" i="16" s="1"/>
  <c r="T43" i="16"/>
  <c r="U43" i="16"/>
  <c r="AF43" i="16"/>
  <c r="AG43" i="16"/>
  <c r="X43" i="16" s="1"/>
  <c r="G44" i="16" a="1"/>
  <c r="G44" i="16" s="1"/>
  <c r="H44" i="16" a="1"/>
  <c r="H44" i="16" s="1"/>
  <c r="I44" i="16" a="1"/>
  <c r="I44" i="16" s="1"/>
  <c r="J44" i="16" a="1"/>
  <c r="J44" i="16" s="1"/>
  <c r="K44" i="16" a="1"/>
  <c r="K44" i="16" s="1"/>
  <c r="L44" i="16" a="1"/>
  <c r="L44" i="16" s="1"/>
  <c r="M44" i="16" a="1"/>
  <c r="M44" i="16" s="1"/>
  <c r="N44" i="16" a="1"/>
  <c r="N44" i="16" s="1"/>
  <c r="O44" i="16" a="1"/>
  <c r="O44" i="16" s="1"/>
  <c r="P44" i="16" a="1"/>
  <c r="P44" i="16" s="1"/>
  <c r="Q44" i="16" a="1"/>
  <c r="Q44" i="16" s="1"/>
  <c r="T44" i="16"/>
  <c r="U44" i="16"/>
  <c r="AF44" i="16"/>
  <c r="AG44" i="16"/>
  <c r="X44" i="16" s="1"/>
  <c r="G45" i="16" a="1"/>
  <c r="G45" i="16" s="1"/>
  <c r="H45" i="16" a="1"/>
  <c r="H45" i="16" s="1"/>
  <c r="I45" i="16" a="1"/>
  <c r="I45" i="16" s="1"/>
  <c r="J45" i="16" a="1"/>
  <c r="J45" i="16" s="1"/>
  <c r="K45" i="16" a="1"/>
  <c r="K45" i="16" s="1"/>
  <c r="L45" i="16" a="1"/>
  <c r="L45" i="16" s="1"/>
  <c r="M45" i="16" a="1"/>
  <c r="M45" i="16" s="1"/>
  <c r="N45" i="16" a="1"/>
  <c r="N45" i="16" s="1"/>
  <c r="O45" i="16" a="1"/>
  <c r="O45" i="16" s="1"/>
  <c r="P45" i="16" a="1"/>
  <c r="P45" i="16" s="1"/>
  <c r="Q45" i="16" a="1"/>
  <c r="Q45" i="16" s="1"/>
  <c r="T45" i="16"/>
  <c r="U45" i="16"/>
  <c r="AF45" i="16"/>
  <c r="AG45" i="16"/>
  <c r="X45" i="16" s="1"/>
  <c r="G46" i="16" a="1"/>
  <c r="G46" i="16" s="1"/>
  <c r="H46" i="16" a="1"/>
  <c r="H46" i="16" s="1"/>
  <c r="I46" i="16" a="1"/>
  <c r="I46" i="16" s="1"/>
  <c r="J46" i="16" a="1"/>
  <c r="J46" i="16" s="1"/>
  <c r="K46" i="16" a="1"/>
  <c r="K46" i="16" s="1"/>
  <c r="L46" i="16" a="1"/>
  <c r="L46" i="16" s="1"/>
  <c r="M46" i="16" a="1"/>
  <c r="M46" i="16" s="1"/>
  <c r="N46" i="16" a="1"/>
  <c r="N46" i="16" s="1"/>
  <c r="O46" i="16" a="1"/>
  <c r="O46" i="16" s="1"/>
  <c r="P46" i="16" a="1"/>
  <c r="P46" i="16" s="1"/>
  <c r="Q46" i="16" a="1"/>
  <c r="Q46" i="16" s="1"/>
  <c r="T46" i="16"/>
  <c r="U46" i="16"/>
  <c r="AF46" i="16"/>
  <c r="AG46" i="16"/>
  <c r="X46" i="16" s="1"/>
  <c r="G47" i="16" a="1"/>
  <c r="G47" i="16" s="1"/>
  <c r="H47" i="16" a="1"/>
  <c r="H47" i="16" s="1"/>
  <c r="I47" i="16" a="1"/>
  <c r="I47" i="16" s="1"/>
  <c r="J47" i="16" a="1"/>
  <c r="J47" i="16" s="1"/>
  <c r="K47" i="16" a="1"/>
  <c r="K47" i="16" s="1"/>
  <c r="L47" i="16" a="1"/>
  <c r="L47" i="16" s="1"/>
  <c r="M47" i="16" a="1"/>
  <c r="M47" i="16" s="1"/>
  <c r="N47" i="16" a="1"/>
  <c r="N47" i="16" s="1"/>
  <c r="O47" i="16" a="1"/>
  <c r="O47" i="16" s="1"/>
  <c r="P47" i="16" a="1"/>
  <c r="P47" i="16" s="1"/>
  <c r="Q47" i="16" a="1"/>
  <c r="Q47" i="16" s="1"/>
  <c r="T47" i="16"/>
  <c r="U47" i="16"/>
  <c r="AF47" i="16"/>
  <c r="AG47" i="16"/>
  <c r="X47" i="16" s="1"/>
  <c r="G48" i="16" a="1"/>
  <c r="G48" i="16" s="1"/>
  <c r="H48" i="16" a="1"/>
  <c r="H48" i="16" s="1"/>
  <c r="I48" i="16" a="1"/>
  <c r="I48" i="16" s="1"/>
  <c r="J48" i="16" a="1"/>
  <c r="J48" i="16" s="1"/>
  <c r="K48" i="16" a="1"/>
  <c r="K48" i="16" s="1"/>
  <c r="L48" i="16" a="1"/>
  <c r="L48" i="16" s="1"/>
  <c r="M48" i="16" a="1"/>
  <c r="M48" i="16" s="1"/>
  <c r="N48" i="16" a="1"/>
  <c r="N48" i="16" s="1"/>
  <c r="O48" i="16" a="1"/>
  <c r="O48" i="16" s="1"/>
  <c r="P48" i="16" a="1"/>
  <c r="P48" i="16" s="1"/>
  <c r="Q48" i="16" a="1"/>
  <c r="Q48" i="16" s="1"/>
  <c r="T48" i="16"/>
  <c r="U48" i="16"/>
  <c r="AF48" i="16"/>
  <c r="AG48" i="16"/>
  <c r="X48" i="16" s="1"/>
  <c r="G49" i="16" a="1"/>
  <c r="G49" i="16" s="1"/>
  <c r="H49" i="16" a="1"/>
  <c r="H49" i="16" s="1"/>
  <c r="I49" i="16" a="1"/>
  <c r="I49" i="16" s="1"/>
  <c r="J49" i="16" a="1"/>
  <c r="J49" i="16" s="1"/>
  <c r="K49" i="16" a="1"/>
  <c r="K49" i="16" s="1"/>
  <c r="L49" i="16" a="1"/>
  <c r="L49" i="16" s="1"/>
  <c r="M49" i="16" a="1"/>
  <c r="M49" i="16" s="1"/>
  <c r="N49" i="16" a="1"/>
  <c r="N49" i="16" s="1"/>
  <c r="O49" i="16" a="1"/>
  <c r="O49" i="16" s="1"/>
  <c r="P49" i="16" a="1"/>
  <c r="P49" i="16" s="1"/>
  <c r="Q49" i="16" a="1"/>
  <c r="Q49" i="16" s="1"/>
  <c r="T49" i="16"/>
  <c r="U49" i="16"/>
  <c r="AF49" i="16"/>
  <c r="AG49" i="16"/>
  <c r="X49" i="16" s="1"/>
  <c r="G50" i="16" a="1"/>
  <c r="G50" i="16" s="1"/>
  <c r="H50" i="16" a="1"/>
  <c r="H50" i="16" s="1"/>
  <c r="I50" i="16" a="1"/>
  <c r="I50" i="16" s="1"/>
  <c r="J50" i="16" a="1"/>
  <c r="J50" i="16" s="1"/>
  <c r="K50" i="16" a="1"/>
  <c r="K50" i="16" s="1"/>
  <c r="L50" i="16" a="1"/>
  <c r="L50" i="16" s="1"/>
  <c r="M50" i="16" a="1"/>
  <c r="M50" i="16" s="1"/>
  <c r="N50" i="16" a="1"/>
  <c r="N50" i="16" s="1"/>
  <c r="O50" i="16" a="1"/>
  <c r="O50" i="16" s="1"/>
  <c r="P50" i="16" a="1"/>
  <c r="P50" i="16" s="1"/>
  <c r="Q50" i="16" a="1"/>
  <c r="Q50" i="16" s="1"/>
  <c r="T50" i="16"/>
  <c r="U50" i="16"/>
  <c r="AF50" i="16"/>
  <c r="AG50" i="16"/>
  <c r="X50" i="16" s="1"/>
  <c r="G51" i="16" a="1"/>
  <c r="G51" i="16" s="1"/>
  <c r="H51" i="16" a="1"/>
  <c r="H51" i="16" s="1"/>
  <c r="I51" i="16" a="1"/>
  <c r="I51" i="16" s="1"/>
  <c r="J51" i="16" a="1"/>
  <c r="J51" i="16" s="1"/>
  <c r="K51" i="16" a="1"/>
  <c r="K51" i="16" s="1"/>
  <c r="L51" i="16" a="1"/>
  <c r="L51" i="16" s="1"/>
  <c r="M51" i="16" a="1"/>
  <c r="M51" i="16" s="1"/>
  <c r="N51" i="16" a="1"/>
  <c r="N51" i="16" s="1"/>
  <c r="O51" i="16" a="1"/>
  <c r="O51" i="16" s="1"/>
  <c r="P51" i="16" a="1"/>
  <c r="P51" i="16" s="1"/>
  <c r="Q51" i="16" a="1"/>
  <c r="Q51" i="16" s="1"/>
  <c r="T51" i="16"/>
  <c r="U51" i="16"/>
  <c r="AF51" i="16"/>
  <c r="AG51" i="16"/>
  <c r="X51" i="16" s="1"/>
  <c r="G52" i="16" a="1"/>
  <c r="G52" i="16" s="1"/>
  <c r="H52" i="16" a="1"/>
  <c r="H52" i="16" s="1"/>
  <c r="I52" i="16" a="1"/>
  <c r="I52" i="16" s="1"/>
  <c r="J52" i="16" a="1"/>
  <c r="J52" i="16" s="1"/>
  <c r="K52" i="16" a="1"/>
  <c r="K52" i="16" s="1"/>
  <c r="L52" i="16" a="1"/>
  <c r="L52" i="16" s="1"/>
  <c r="M52" i="16" a="1"/>
  <c r="M52" i="16" s="1"/>
  <c r="N52" i="16" a="1"/>
  <c r="N52" i="16" s="1"/>
  <c r="O52" i="16" a="1"/>
  <c r="O52" i="16" s="1"/>
  <c r="P52" i="16" a="1"/>
  <c r="P52" i="16" s="1"/>
  <c r="Q52" i="16" a="1"/>
  <c r="Q52" i="16" s="1"/>
  <c r="T52" i="16"/>
  <c r="U52" i="16"/>
  <c r="AF52" i="16"/>
  <c r="AG52" i="16"/>
  <c r="X52" i="16" s="1"/>
  <c r="G53" i="16" a="1"/>
  <c r="G53" i="16" s="1"/>
  <c r="H53" i="16" a="1"/>
  <c r="H53" i="16" s="1"/>
  <c r="I53" i="16" a="1"/>
  <c r="I53" i="16" s="1"/>
  <c r="J53" i="16" a="1"/>
  <c r="J53" i="16" s="1"/>
  <c r="K53" i="16" a="1"/>
  <c r="K53" i="16" s="1"/>
  <c r="L53" i="16" a="1"/>
  <c r="L53" i="16" s="1"/>
  <c r="M53" i="16" a="1"/>
  <c r="M53" i="16" s="1"/>
  <c r="N53" i="16" a="1"/>
  <c r="N53" i="16" s="1"/>
  <c r="O53" i="16" a="1"/>
  <c r="O53" i="16" s="1"/>
  <c r="P53" i="16" a="1"/>
  <c r="P53" i="16" s="1"/>
  <c r="Q53" i="16" a="1"/>
  <c r="Q53" i="16" s="1"/>
  <c r="T53" i="16"/>
  <c r="U53" i="16"/>
  <c r="AF53" i="16"/>
  <c r="AG53" i="16"/>
  <c r="X53" i="16" s="1"/>
  <c r="G54" i="16" a="1"/>
  <c r="G54" i="16" s="1"/>
  <c r="H54" i="16" a="1"/>
  <c r="H54" i="16" s="1"/>
  <c r="I54" i="16" a="1"/>
  <c r="I54" i="16" s="1"/>
  <c r="J54" i="16" a="1"/>
  <c r="J54" i="16" s="1"/>
  <c r="K54" i="16" a="1"/>
  <c r="K54" i="16" s="1"/>
  <c r="L54" i="16" a="1"/>
  <c r="L54" i="16" s="1"/>
  <c r="M54" i="16" a="1"/>
  <c r="M54" i="16" s="1"/>
  <c r="N54" i="16" a="1"/>
  <c r="N54" i="16" s="1"/>
  <c r="O54" i="16" a="1"/>
  <c r="O54" i="16" s="1"/>
  <c r="P54" i="16" a="1"/>
  <c r="P54" i="16" s="1"/>
  <c r="Q54" i="16" a="1"/>
  <c r="Q54" i="16" s="1"/>
  <c r="T54" i="16"/>
  <c r="U54" i="16"/>
  <c r="AF54" i="16"/>
  <c r="AG54" i="16"/>
  <c r="X54" i="16" s="1"/>
  <c r="G55" i="16" a="1"/>
  <c r="G55" i="16" s="1"/>
  <c r="H55" i="16" a="1"/>
  <c r="H55" i="16" s="1"/>
  <c r="I55" i="16" a="1"/>
  <c r="I55" i="16" s="1"/>
  <c r="J55" i="16" a="1"/>
  <c r="J55" i="16" s="1"/>
  <c r="K55" i="16" a="1"/>
  <c r="K55" i="16" s="1"/>
  <c r="L55" i="16" a="1"/>
  <c r="L55" i="16" s="1"/>
  <c r="M55" i="16" a="1"/>
  <c r="M55" i="16" s="1"/>
  <c r="N55" i="16" a="1"/>
  <c r="N55" i="16" s="1"/>
  <c r="O55" i="16" a="1"/>
  <c r="O55" i="16" s="1"/>
  <c r="P55" i="16" a="1"/>
  <c r="P55" i="16" s="1"/>
  <c r="Q55" i="16" a="1"/>
  <c r="Q55" i="16" s="1"/>
  <c r="T55" i="16"/>
  <c r="U55" i="16"/>
  <c r="AF55" i="16"/>
  <c r="AG55" i="16"/>
  <c r="X55" i="16" s="1"/>
  <c r="G56" i="16" a="1"/>
  <c r="G56" i="16" s="1"/>
  <c r="H56" i="16" a="1"/>
  <c r="H56" i="16" s="1"/>
  <c r="I56" i="16" a="1"/>
  <c r="I56" i="16" s="1"/>
  <c r="J56" i="16" a="1"/>
  <c r="J56" i="16" s="1"/>
  <c r="K56" i="16" a="1"/>
  <c r="K56" i="16" s="1"/>
  <c r="L56" i="16" a="1"/>
  <c r="L56" i="16" s="1"/>
  <c r="M56" i="16" a="1"/>
  <c r="M56" i="16" s="1"/>
  <c r="N56" i="16" a="1"/>
  <c r="N56" i="16" s="1"/>
  <c r="O56" i="16" a="1"/>
  <c r="O56" i="16" s="1"/>
  <c r="P56" i="16" a="1"/>
  <c r="P56" i="16" s="1"/>
  <c r="Q56" i="16" a="1"/>
  <c r="Q56" i="16" s="1"/>
  <c r="T56" i="16"/>
  <c r="U56" i="16"/>
  <c r="AF56" i="16"/>
  <c r="AG56" i="16"/>
  <c r="X56" i="16" s="1"/>
  <c r="G57" i="16" a="1"/>
  <c r="G57" i="16" s="1"/>
  <c r="H57" i="16" a="1"/>
  <c r="H57" i="16" s="1"/>
  <c r="I57" i="16" a="1"/>
  <c r="I57" i="16" s="1"/>
  <c r="J57" i="16" a="1"/>
  <c r="J57" i="16" s="1"/>
  <c r="K57" i="16" a="1"/>
  <c r="K57" i="16" s="1"/>
  <c r="L57" i="16" a="1"/>
  <c r="L57" i="16" s="1"/>
  <c r="M57" i="16" a="1"/>
  <c r="M57" i="16" s="1"/>
  <c r="N57" i="16" a="1"/>
  <c r="N57" i="16" s="1"/>
  <c r="O57" i="16" a="1"/>
  <c r="O57" i="16" s="1"/>
  <c r="P57" i="16" a="1"/>
  <c r="P57" i="16" s="1"/>
  <c r="Q57" i="16" a="1"/>
  <c r="Q57" i="16" s="1"/>
  <c r="T57" i="16"/>
  <c r="U57" i="16"/>
  <c r="AF57" i="16"/>
  <c r="AG57" i="16"/>
  <c r="X57" i="16" s="1"/>
  <c r="G58" i="16" a="1"/>
  <c r="G58" i="16" s="1"/>
  <c r="H58" i="16" a="1"/>
  <c r="H58" i="16" s="1"/>
  <c r="I58" i="16" a="1"/>
  <c r="I58" i="16" s="1"/>
  <c r="J58" i="16" a="1"/>
  <c r="J58" i="16" s="1"/>
  <c r="K58" i="16" a="1"/>
  <c r="K58" i="16" s="1"/>
  <c r="L58" i="16" a="1"/>
  <c r="L58" i="16" s="1"/>
  <c r="M58" i="16" a="1"/>
  <c r="M58" i="16" s="1"/>
  <c r="N58" i="16" a="1"/>
  <c r="N58" i="16" s="1"/>
  <c r="O58" i="16" a="1"/>
  <c r="O58" i="16" s="1"/>
  <c r="P58" i="16" a="1"/>
  <c r="P58" i="16" s="1"/>
  <c r="Q58" i="16" a="1"/>
  <c r="Q58" i="16" s="1"/>
  <c r="T58" i="16"/>
  <c r="U58" i="16"/>
  <c r="AF58" i="16"/>
  <c r="AG58" i="16"/>
  <c r="X58" i="16" s="1"/>
  <c r="G59" i="16" a="1"/>
  <c r="G59" i="16" s="1"/>
  <c r="H59" i="16" a="1"/>
  <c r="H59" i="16" s="1"/>
  <c r="I59" i="16" a="1"/>
  <c r="I59" i="16" s="1"/>
  <c r="J59" i="16" a="1"/>
  <c r="J59" i="16" s="1"/>
  <c r="K59" i="16" a="1"/>
  <c r="K59" i="16" s="1"/>
  <c r="L59" i="16" a="1"/>
  <c r="L59" i="16" s="1"/>
  <c r="M59" i="16" a="1"/>
  <c r="M59" i="16" s="1"/>
  <c r="N59" i="16" a="1"/>
  <c r="N59" i="16" s="1"/>
  <c r="O59" i="16" a="1"/>
  <c r="O59" i="16" s="1"/>
  <c r="P59" i="16" a="1"/>
  <c r="P59" i="16" s="1"/>
  <c r="Q59" i="16" a="1"/>
  <c r="Q59" i="16" s="1"/>
  <c r="T59" i="16"/>
  <c r="U59" i="16"/>
  <c r="AF59" i="16"/>
  <c r="AG59" i="16"/>
  <c r="X59" i="16" s="1"/>
  <c r="G60" i="16" a="1"/>
  <c r="G60" i="16" s="1"/>
  <c r="H60" i="16" a="1"/>
  <c r="H60" i="16" s="1"/>
  <c r="I60" i="16" a="1"/>
  <c r="I60" i="16" s="1"/>
  <c r="J60" i="16" a="1"/>
  <c r="J60" i="16" s="1"/>
  <c r="K60" i="16" a="1"/>
  <c r="K60" i="16" s="1"/>
  <c r="L60" i="16" a="1"/>
  <c r="L60" i="16" s="1"/>
  <c r="M60" i="16" a="1"/>
  <c r="M60" i="16" s="1"/>
  <c r="N60" i="16" a="1"/>
  <c r="N60" i="16" s="1"/>
  <c r="O60" i="16" a="1"/>
  <c r="O60" i="16" s="1"/>
  <c r="P60" i="16" a="1"/>
  <c r="P60" i="16" s="1"/>
  <c r="Q60" i="16" a="1"/>
  <c r="Q60" i="16" s="1"/>
  <c r="T60" i="16"/>
  <c r="U60" i="16"/>
  <c r="AF60" i="16"/>
  <c r="AG60" i="16"/>
  <c r="X60" i="16" s="1"/>
  <c r="G61" i="16" a="1"/>
  <c r="G61" i="16" s="1"/>
  <c r="H61" i="16" a="1"/>
  <c r="H61" i="16" s="1"/>
  <c r="I61" i="16" a="1"/>
  <c r="I61" i="16" s="1"/>
  <c r="J61" i="16" a="1"/>
  <c r="J61" i="16" s="1"/>
  <c r="K61" i="16" a="1"/>
  <c r="K61" i="16" s="1"/>
  <c r="L61" i="16" a="1"/>
  <c r="L61" i="16" s="1"/>
  <c r="M61" i="16" a="1"/>
  <c r="M61" i="16" s="1"/>
  <c r="N61" i="16" a="1"/>
  <c r="N61" i="16" s="1"/>
  <c r="O61" i="16" a="1"/>
  <c r="O61" i="16" s="1"/>
  <c r="P61" i="16" a="1"/>
  <c r="P61" i="16" s="1"/>
  <c r="Q61" i="16" a="1"/>
  <c r="Q61" i="16" s="1"/>
  <c r="T61" i="16"/>
  <c r="U61" i="16"/>
  <c r="AF61" i="16"/>
  <c r="AG61" i="16"/>
  <c r="X61" i="16" s="1"/>
  <c r="G62" i="16" a="1"/>
  <c r="G62" i="16" s="1"/>
  <c r="H62" i="16" a="1"/>
  <c r="H62" i="16" s="1"/>
  <c r="I62" i="16" a="1"/>
  <c r="I62" i="16" s="1"/>
  <c r="J62" i="16" a="1"/>
  <c r="J62" i="16" s="1"/>
  <c r="K62" i="16" a="1"/>
  <c r="K62" i="16" s="1"/>
  <c r="L62" i="16" a="1"/>
  <c r="L62" i="16" s="1"/>
  <c r="M62" i="16" a="1"/>
  <c r="M62" i="16" s="1"/>
  <c r="N62" i="16" a="1"/>
  <c r="N62" i="16" s="1"/>
  <c r="O62" i="16" a="1"/>
  <c r="O62" i="16" s="1"/>
  <c r="P62" i="16" a="1"/>
  <c r="P62" i="16" s="1"/>
  <c r="Q62" i="16" a="1"/>
  <c r="Q62" i="16" s="1"/>
  <c r="T62" i="16"/>
  <c r="U62" i="16"/>
  <c r="AF62" i="16"/>
  <c r="AG62" i="16"/>
  <c r="X62" i="16" s="1"/>
  <c r="G63" i="16" a="1"/>
  <c r="G63" i="16" s="1"/>
  <c r="H63" i="16" a="1"/>
  <c r="H63" i="16" s="1"/>
  <c r="I63" i="16" a="1"/>
  <c r="I63" i="16" s="1"/>
  <c r="J63" i="16" a="1"/>
  <c r="J63" i="16" s="1"/>
  <c r="K63" i="16" a="1"/>
  <c r="K63" i="16" s="1"/>
  <c r="L63" i="16" a="1"/>
  <c r="L63" i="16" s="1"/>
  <c r="M63" i="16" a="1"/>
  <c r="M63" i="16" s="1"/>
  <c r="N63" i="16" a="1"/>
  <c r="N63" i="16" s="1"/>
  <c r="O63" i="16" a="1"/>
  <c r="O63" i="16" s="1"/>
  <c r="P63" i="16" a="1"/>
  <c r="P63" i="16" s="1"/>
  <c r="Q63" i="16" a="1"/>
  <c r="Q63" i="16" s="1"/>
  <c r="T63" i="16"/>
  <c r="U63" i="16"/>
  <c r="AF63" i="16"/>
  <c r="AG63" i="16"/>
  <c r="X63" i="16" s="1"/>
  <c r="G64" i="16" a="1"/>
  <c r="G64" i="16" s="1"/>
  <c r="H64" i="16" a="1"/>
  <c r="H64" i="16" s="1"/>
  <c r="I64" i="16" a="1"/>
  <c r="I64" i="16" s="1"/>
  <c r="J64" i="16" a="1"/>
  <c r="J64" i="16" s="1"/>
  <c r="K64" i="16" a="1"/>
  <c r="K64" i="16" s="1"/>
  <c r="L64" i="16" a="1"/>
  <c r="L64" i="16" s="1"/>
  <c r="M64" i="16" a="1"/>
  <c r="M64" i="16" s="1"/>
  <c r="N64" i="16" a="1"/>
  <c r="N64" i="16" s="1"/>
  <c r="O64" i="16" a="1"/>
  <c r="O64" i="16" s="1"/>
  <c r="P64" i="16" a="1"/>
  <c r="P64" i="16" s="1"/>
  <c r="Q64" i="16" a="1"/>
  <c r="Q64" i="16" s="1"/>
  <c r="T64" i="16"/>
  <c r="U64" i="16"/>
  <c r="AF64" i="16"/>
  <c r="AG64" i="16"/>
  <c r="X64" i="16" s="1"/>
  <c r="G65" i="16" a="1"/>
  <c r="G65" i="16" s="1"/>
  <c r="H65" i="16" a="1"/>
  <c r="H65" i="16" s="1"/>
  <c r="I65" i="16" a="1"/>
  <c r="I65" i="16" s="1"/>
  <c r="J65" i="16" a="1"/>
  <c r="J65" i="16" s="1"/>
  <c r="K65" i="16" a="1"/>
  <c r="K65" i="16" s="1"/>
  <c r="L65" i="16" a="1"/>
  <c r="L65" i="16" s="1"/>
  <c r="M65" i="16" a="1"/>
  <c r="M65" i="16" s="1"/>
  <c r="N65" i="16" a="1"/>
  <c r="N65" i="16" s="1"/>
  <c r="O65" i="16" a="1"/>
  <c r="O65" i="16" s="1"/>
  <c r="P65" i="16" a="1"/>
  <c r="P65" i="16" s="1"/>
  <c r="Q65" i="16" a="1"/>
  <c r="Q65" i="16" s="1"/>
  <c r="T65" i="16"/>
  <c r="U65" i="16"/>
  <c r="AF65" i="16"/>
  <c r="AG65" i="16"/>
  <c r="X65" i="16" s="1"/>
  <c r="G66" i="16" a="1"/>
  <c r="G66" i="16" s="1"/>
  <c r="H66" i="16" a="1"/>
  <c r="H66" i="16" s="1"/>
  <c r="I66" i="16" a="1"/>
  <c r="I66" i="16" s="1"/>
  <c r="J66" i="16" a="1"/>
  <c r="J66" i="16" s="1"/>
  <c r="K66" i="16" a="1"/>
  <c r="K66" i="16" s="1"/>
  <c r="L66" i="16" a="1"/>
  <c r="L66" i="16" s="1"/>
  <c r="M66" i="16" a="1"/>
  <c r="M66" i="16" s="1"/>
  <c r="N66" i="16" a="1"/>
  <c r="N66" i="16" s="1"/>
  <c r="O66" i="16" a="1"/>
  <c r="O66" i="16" s="1"/>
  <c r="P66" i="16" a="1"/>
  <c r="P66" i="16" s="1"/>
  <c r="Q66" i="16" a="1"/>
  <c r="Q66" i="16" s="1"/>
  <c r="T66" i="16"/>
  <c r="U66" i="16"/>
  <c r="AF66" i="16"/>
  <c r="AG66" i="16"/>
  <c r="X66" i="16" s="1"/>
  <c r="G67" i="16" a="1"/>
  <c r="G67" i="16" s="1"/>
  <c r="H67" i="16" a="1"/>
  <c r="H67" i="16" s="1"/>
  <c r="I67" i="16" a="1"/>
  <c r="I67" i="16" s="1"/>
  <c r="J67" i="16" a="1"/>
  <c r="J67" i="16" s="1"/>
  <c r="K67" i="16" a="1"/>
  <c r="K67" i="16" s="1"/>
  <c r="L67" i="16" a="1"/>
  <c r="L67" i="16" s="1"/>
  <c r="M67" i="16" a="1"/>
  <c r="M67" i="16" s="1"/>
  <c r="N67" i="16" a="1"/>
  <c r="N67" i="16" s="1"/>
  <c r="O67" i="16" a="1"/>
  <c r="O67" i="16" s="1"/>
  <c r="P67" i="16" a="1"/>
  <c r="P67" i="16" s="1"/>
  <c r="Q67" i="16" a="1"/>
  <c r="Q67" i="16" s="1"/>
  <c r="T67" i="16"/>
  <c r="U67" i="16"/>
  <c r="AF67" i="16"/>
  <c r="AG67" i="16"/>
  <c r="X67" i="16" s="1"/>
  <c r="G68" i="16" a="1"/>
  <c r="G68" i="16" s="1"/>
  <c r="H68" i="16" a="1"/>
  <c r="H68" i="16" s="1"/>
  <c r="I68" i="16" a="1"/>
  <c r="I68" i="16" s="1"/>
  <c r="J68" i="16" a="1"/>
  <c r="J68" i="16" s="1"/>
  <c r="K68" i="16" a="1"/>
  <c r="K68" i="16" s="1"/>
  <c r="L68" i="16" a="1"/>
  <c r="L68" i="16" s="1"/>
  <c r="M68" i="16" a="1"/>
  <c r="M68" i="16" s="1"/>
  <c r="N68" i="16" a="1"/>
  <c r="N68" i="16" s="1"/>
  <c r="O68" i="16" a="1"/>
  <c r="O68" i="16" s="1"/>
  <c r="P68" i="16" a="1"/>
  <c r="P68" i="16" s="1"/>
  <c r="Q68" i="16" a="1"/>
  <c r="Q68" i="16" s="1"/>
  <c r="T68" i="16"/>
  <c r="U68" i="16"/>
  <c r="AF68" i="16"/>
  <c r="AG68" i="16"/>
  <c r="X68" i="16" s="1"/>
  <c r="G69" i="16" a="1"/>
  <c r="G69" i="16" s="1"/>
  <c r="H69" i="16" a="1"/>
  <c r="H69" i="16" s="1"/>
  <c r="I69" i="16" a="1"/>
  <c r="I69" i="16" s="1"/>
  <c r="J69" i="16" a="1"/>
  <c r="J69" i="16" s="1"/>
  <c r="K69" i="16" a="1"/>
  <c r="K69" i="16" s="1"/>
  <c r="L69" i="16" a="1"/>
  <c r="L69" i="16" s="1"/>
  <c r="M69" i="16" a="1"/>
  <c r="M69" i="16" s="1"/>
  <c r="N69" i="16" a="1"/>
  <c r="N69" i="16" s="1"/>
  <c r="O69" i="16" a="1"/>
  <c r="O69" i="16" s="1"/>
  <c r="P69" i="16" a="1"/>
  <c r="P69" i="16" s="1"/>
  <c r="Q69" i="16" a="1"/>
  <c r="Q69" i="16" s="1"/>
  <c r="T69" i="16"/>
  <c r="U69" i="16"/>
  <c r="AF69" i="16"/>
  <c r="AG69" i="16"/>
  <c r="X69" i="16" s="1"/>
  <c r="G70" i="16" a="1"/>
  <c r="G70" i="16" s="1"/>
  <c r="H70" i="16" a="1"/>
  <c r="H70" i="16" s="1"/>
  <c r="I70" i="16" a="1"/>
  <c r="I70" i="16" s="1"/>
  <c r="J70" i="16" a="1"/>
  <c r="J70" i="16" s="1"/>
  <c r="K70" i="16" a="1"/>
  <c r="K70" i="16" s="1"/>
  <c r="L70" i="16" a="1"/>
  <c r="L70" i="16" s="1"/>
  <c r="M70" i="16" a="1"/>
  <c r="M70" i="16" s="1"/>
  <c r="N70" i="16" a="1"/>
  <c r="N70" i="16" s="1"/>
  <c r="O70" i="16" a="1"/>
  <c r="O70" i="16" s="1"/>
  <c r="P70" i="16" a="1"/>
  <c r="P70" i="16" s="1"/>
  <c r="Q70" i="16" a="1"/>
  <c r="Q70" i="16" s="1"/>
  <c r="T70" i="16"/>
  <c r="U70" i="16"/>
  <c r="AF70" i="16"/>
  <c r="AG70" i="16"/>
  <c r="X70" i="16" s="1"/>
  <c r="G71" i="16" a="1"/>
  <c r="G71" i="16" s="1"/>
  <c r="H71" i="16" a="1"/>
  <c r="H71" i="16" s="1"/>
  <c r="I71" i="16" a="1"/>
  <c r="I71" i="16" s="1"/>
  <c r="J71" i="16" a="1"/>
  <c r="J71" i="16" s="1"/>
  <c r="K71" i="16" a="1"/>
  <c r="K71" i="16" s="1"/>
  <c r="L71" i="16" a="1"/>
  <c r="L71" i="16" s="1"/>
  <c r="M71" i="16" a="1"/>
  <c r="M71" i="16" s="1"/>
  <c r="N71" i="16" a="1"/>
  <c r="N71" i="16" s="1"/>
  <c r="O71" i="16" a="1"/>
  <c r="O71" i="16" s="1"/>
  <c r="P71" i="16" a="1"/>
  <c r="P71" i="16" s="1"/>
  <c r="Q71" i="16" a="1"/>
  <c r="Q71" i="16" s="1"/>
  <c r="T71" i="16"/>
  <c r="U71" i="16"/>
  <c r="AF71" i="16"/>
  <c r="AG71" i="16"/>
  <c r="X71" i="16" s="1"/>
  <c r="G72" i="16" a="1"/>
  <c r="G72" i="16" s="1"/>
  <c r="H72" i="16" a="1"/>
  <c r="H72" i="16" s="1"/>
  <c r="I72" i="16" a="1"/>
  <c r="I72" i="16" s="1"/>
  <c r="J72" i="16" a="1"/>
  <c r="J72" i="16" s="1"/>
  <c r="K72" i="16" a="1"/>
  <c r="K72" i="16" s="1"/>
  <c r="L72" i="16" a="1"/>
  <c r="L72" i="16" s="1"/>
  <c r="M72" i="16" a="1"/>
  <c r="M72" i="16" s="1"/>
  <c r="N72" i="16" a="1"/>
  <c r="N72" i="16" s="1"/>
  <c r="O72" i="16" a="1"/>
  <c r="O72" i="16" s="1"/>
  <c r="P72" i="16" a="1"/>
  <c r="P72" i="16" s="1"/>
  <c r="Q72" i="16" a="1"/>
  <c r="Q72" i="16" s="1"/>
  <c r="T72" i="16"/>
  <c r="U72" i="16"/>
  <c r="AF72" i="16"/>
  <c r="AG72" i="16"/>
  <c r="X72" i="16" s="1"/>
  <c r="G73" i="16" a="1"/>
  <c r="G73" i="16" s="1"/>
  <c r="H73" i="16" a="1"/>
  <c r="H73" i="16" s="1"/>
  <c r="I73" i="16" a="1"/>
  <c r="I73" i="16" s="1"/>
  <c r="J73" i="16" a="1"/>
  <c r="J73" i="16" s="1"/>
  <c r="K73" i="16" a="1"/>
  <c r="K73" i="16" s="1"/>
  <c r="L73" i="16" a="1"/>
  <c r="L73" i="16" s="1"/>
  <c r="M73" i="16" a="1"/>
  <c r="M73" i="16" s="1"/>
  <c r="N73" i="16" a="1"/>
  <c r="N73" i="16" s="1"/>
  <c r="O73" i="16" a="1"/>
  <c r="O73" i="16" s="1"/>
  <c r="P73" i="16" a="1"/>
  <c r="P73" i="16" s="1"/>
  <c r="Q73" i="16" a="1"/>
  <c r="Q73" i="16" s="1"/>
  <c r="T73" i="16"/>
  <c r="U73" i="16"/>
  <c r="AF73" i="16"/>
  <c r="AG73" i="16"/>
  <c r="X73" i="16" s="1"/>
  <c r="G74" i="16" a="1"/>
  <c r="G74" i="16" s="1"/>
  <c r="H74" i="16" a="1"/>
  <c r="H74" i="16" s="1"/>
  <c r="I74" i="16" a="1"/>
  <c r="I74" i="16" s="1"/>
  <c r="J74" i="16" a="1"/>
  <c r="J74" i="16" s="1"/>
  <c r="K74" i="16" a="1"/>
  <c r="K74" i="16" s="1"/>
  <c r="L74" i="16" a="1"/>
  <c r="L74" i="16" s="1"/>
  <c r="M74" i="16" a="1"/>
  <c r="M74" i="16" s="1"/>
  <c r="N74" i="16" a="1"/>
  <c r="N74" i="16" s="1"/>
  <c r="O74" i="16" a="1"/>
  <c r="O74" i="16" s="1"/>
  <c r="P74" i="16" a="1"/>
  <c r="P74" i="16" s="1"/>
  <c r="Q74" i="16" a="1"/>
  <c r="Q74" i="16" s="1"/>
  <c r="T74" i="16"/>
  <c r="U74" i="16"/>
  <c r="AF74" i="16"/>
  <c r="AG74" i="16"/>
  <c r="X74" i="16" s="1"/>
  <c r="G75" i="16" a="1"/>
  <c r="G75" i="16" s="1"/>
  <c r="H75" i="16" a="1"/>
  <c r="H75" i="16" s="1"/>
  <c r="I75" i="16" a="1"/>
  <c r="I75" i="16" s="1"/>
  <c r="J75" i="16" a="1"/>
  <c r="J75" i="16" s="1"/>
  <c r="K75" i="16" a="1"/>
  <c r="K75" i="16" s="1"/>
  <c r="L75" i="16" a="1"/>
  <c r="L75" i="16" s="1"/>
  <c r="M75" i="16" a="1"/>
  <c r="M75" i="16" s="1"/>
  <c r="N75" i="16" a="1"/>
  <c r="N75" i="16" s="1"/>
  <c r="O75" i="16" a="1"/>
  <c r="O75" i="16" s="1"/>
  <c r="P75" i="16" a="1"/>
  <c r="P75" i="16" s="1"/>
  <c r="Q75" i="16" a="1"/>
  <c r="Q75" i="16" s="1"/>
  <c r="T75" i="16"/>
  <c r="U75" i="16"/>
  <c r="AF75" i="16"/>
  <c r="AG75" i="16"/>
  <c r="X75" i="16" s="1"/>
  <c r="G76" i="16" a="1"/>
  <c r="G76" i="16" s="1"/>
  <c r="H76" i="16" a="1"/>
  <c r="H76" i="16" s="1"/>
  <c r="I76" i="16" a="1"/>
  <c r="I76" i="16" s="1"/>
  <c r="J76" i="16" a="1"/>
  <c r="J76" i="16" s="1"/>
  <c r="K76" i="16" a="1"/>
  <c r="K76" i="16" s="1"/>
  <c r="L76" i="16" a="1"/>
  <c r="L76" i="16" s="1"/>
  <c r="M76" i="16" a="1"/>
  <c r="M76" i="16" s="1"/>
  <c r="N76" i="16" a="1"/>
  <c r="N76" i="16" s="1"/>
  <c r="O76" i="16" a="1"/>
  <c r="O76" i="16" s="1"/>
  <c r="P76" i="16" a="1"/>
  <c r="P76" i="16" s="1"/>
  <c r="Q76" i="16" a="1"/>
  <c r="Q76" i="16" s="1"/>
  <c r="T76" i="16"/>
  <c r="U76" i="16"/>
  <c r="AF76" i="16"/>
  <c r="AG76" i="16"/>
  <c r="X76" i="16" s="1"/>
  <c r="G77" i="16" a="1"/>
  <c r="G77" i="16" s="1"/>
  <c r="H77" i="16" a="1"/>
  <c r="H77" i="16" s="1"/>
  <c r="I77" i="16" a="1"/>
  <c r="I77" i="16" s="1"/>
  <c r="J77" i="16" a="1"/>
  <c r="J77" i="16" s="1"/>
  <c r="K77" i="16" a="1"/>
  <c r="K77" i="16" s="1"/>
  <c r="L77" i="16" a="1"/>
  <c r="L77" i="16" s="1"/>
  <c r="M77" i="16" a="1"/>
  <c r="M77" i="16" s="1"/>
  <c r="N77" i="16" a="1"/>
  <c r="N77" i="16" s="1"/>
  <c r="O77" i="16" a="1"/>
  <c r="O77" i="16" s="1"/>
  <c r="P77" i="16" a="1"/>
  <c r="P77" i="16" s="1"/>
  <c r="Q77" i="16" a="1"/>
  <c r="Q77" i="16" s="1"/>
  <c r="T77" i="16"/>
  <c r="U77" i="16"/>
  <c r="AF77" i="16"/>
  <c r="AG77" i="16"/>
  <c r="X77" i="16" s="1"/>
  <c r="G78" i="16" a="1"/>
  <c r="G78" i="16" s="1"/>
  <c r="H78" i="16" a="1"/>
  <c r="H78" i="16" s="1"/>
  <c r="I78" i="16" a="1"/>
  <c r="I78" i="16" s="1"/>
  <c r="J78" i="16" a="1"/>
  <c r="J78" i="16" s="1"/>
  <c r="K78" i="16" a="1"/>
  <c r="K78" i="16" s="1"/>
  <c r="L78" i="16" a="1"/>
  <c r="L78" i="16" s="1"/>
  <c r="M78" i="16" a="1"/>
  <c r="M78" i="16" s="1"/>
  <c r="N78" i="16" a="1"/>
  <c r="N78" i="16" s="1"/>
  <c r="O78" i="16" a="1"/>
  <c r="O78" i="16" s="1"/>
  <c r="P78" i="16" a="1"/>
  <c r="P78" i="16" s="1"/>
  <c r="Q78" i="16" a="1"/>
  <c r="Q78" i="16" s="1"/>
  <c r="T78" i="16"/>
  <c r="U78" i="16"/>
  <c r="AF78" i="16"/>
  <c r="AG78" i="16"/>
  <c r="X78" i="16" s="1"/>
  <c r="G79" i="16" a="1"/>
  <c r="G79" i="16" s="1"/>
  <c r="H79" i="16" a="1"/>
  <c r="H79" i="16" s="1"/>
  <c r="I79" i="16" a="1"/>
  <c r="I79" i="16" s="1"/>
  <c r="J79" i="16" a="1"/>
  <c r="J79" i="16" s="1"/>
  <c r="K79" i="16" a="1"/>
  <c r="K79" i="16" s="1"/>
  <c r="L79" i="16" a="1"/>
  <c r="L79" i="16" s="1"/>
  <c r="M79" i="16" a="1"/>
  <c r="M79" i="16" s="1"/>
  <c r="N79" i="16" a="1"/>
  <c r="N79" i="16" s="1"/>
  <c r="O79" i="16" a="1"/>
  <c r="O79" i="16" s="1"/>
  <c r="P79" i="16" a="1"/>
  <c r="P79" i="16" s="1"/>
  <c r="Q79" i="16" a="1"/>
  <c r="Q79" i="16" s="1"/>
  <c r="T79" i="16"/>
  <c r="U79" i="16"/>
  <c r="AF79" i="16"/>
  <c r="AG79" i="16"/>
  <c r="X79" i="16" s="1"/>
  <c r="G80" i="16" a="1"/>
  <c r="G80" i="16" s="1"/>
  <c r="H80" i="16" a="1"/>
  <c r="H80" i="16" s="1"/>
  <c r="I80" i="16" a="1"/>
  <c r="I80" i="16" s="1"/>
  <c r="J80" i="16" a="1"/>
  <c r="J80" i="16" s="1"/>
  <c r="K80" i="16" a="1"/>
  <c r="K80" i="16" s="1"/>
  <c r="L80" i="16" a="1"/>
  <c r="L80" i="16" s="1"/>
  <c r="M80" i="16" a="1"/>
  <c r="M80" i="16" s="1"/>
  <c r="N80" i="16" a="1"/>
  <c r="N80" i="16" s="1"/>
  <c r="O80" i="16" a="1"/>
  <c r="O80" i="16" s="1"/>
  <c r="P80" i="16" a="1"/>
  <c r="P80" i="16" s="1"/>
  <c r="Q80" i="16" a="1"/>
  <c r="Q80" i="16" s="1"/>
  <c r="T80" i="16"/>
  <c r="U80" i="16"/>
  <c r="AF80" i="16"/>
  <c r="AG80" i="16"/>
  <c r="X80" i="16" s="1"/>
  <c r="G81" i="16" a="1"/>
  <c r="G81" i="16" s="1"/>
  <c r="H81" i="16" a="1"/>
  <c r="H81" i="16" s="1"/>
  <c r="I81" i="16" a="1"/>
  <c r="I81" i="16" s="1"/>
  <c r="J81" i="16" a="1"/>
  <c r="J81" i="16" s="1"/>
  <c r="K81" i="16" a="1"/>
  <c r="K81" i="16" s="1"/>
  <c r="L81" i="16" a="1"/>
  <c r="L81" i="16" s="1"/>
  <c r="M81" i="16" a="1"/>
  <c r="M81" i="16" s="1"/>
  <c r="N81" i="16" a="1"/>
  <c r="N81" i="16" s="1"/>
  <c r="O81" i="16" a="1"/>
  <c r="O81" i="16" s="1"/>
  <c r="P81" i="16" a="1"/>
  <c r="P81" i="16" s="1"/>
  <c r="Q81" i="16" a="1"/>
  <c r="Q81" i="16" s="1"/>
  <c r="T81" i="16"/>
  <c r="U81" i="16"/>
  <c r="AF81" i="16"/>
  <c r="AG81" i="16"/>
  <c r="X81" i="16" s="1"/>
  <c r="G82" i="16" a="1"/>
  <c r="G82" i="16" s="1"/>
  <c r="H82" i="16" a="1"/>
  <c r="H82" i="16" s="1"/>
  <c r="I82" i="16" a="1"/>
  <c r="I82" i="16" s="1"/>
  <c r="J82" i="16" a="1"/>
  <c r="J82" i="16" s="1"/>
  <c r="K82" i="16" a="1"/>
  <c r="K82" i="16" s="1"/>
  <c r="L82" i="16" a="1"/>
  <c r="L82" i="16" s="1"/>
  <c r="M82" i="16" a="1"/>
  <c r="M82" i="16" s="1"/>
  <c r="N82" i="16" a="1"/>
  <c r="N82" i="16" s="1"/>
  <c r="O82" i="16" a="1"/>
  <c r="O82" i="16" s="1"/>
  <c r="P82" i="16" a="1"/>
  <c r="P82" i="16" s="1"/>
  <c r="Q82" i="16" a="1"/>
  <c r="Q82" i="16" s="1"/>
  <c r="T82" i="16"/>
  <c r="U82" i="16"/>
  <c r="AF82" i="16"/>
  <c r="AG82" i="16"/>
  <c r="X82" i="16" s="1"/>
  <c r="G83" i="16" a="1"/>
  <c r="G83" i="16" s="1"/>
  <c r="H83" i="16" a="1"/>
  <c r="H83" i="16" s="1"/>
  <c r="I83" i="16" a="1"/>
  <c r="I83" i="16" s="1"/>
  <c r="J83" i="16" a="1"/>
  <c r="J83" i="16" s="1"/>
  <c r="K83" i="16" a="1"/>
  <c r="K83" i="16" s="1"/>
  <c r="L83" i="16" a="1"/>
  <c r="L83" i="16" s="1"/>
  <c r="M83" i="16" a="1"/>
  <c r="M83" i="16" s="1"/>
  <c r="N83" i="16" a="1"/>
  <c r="N83" i="16" s="1"/>
  <c r="O83" i="16" a="1"/>
  <c r="O83" i="16" s="1"/>
  <c r="P83" i="16" a="1"/>
  <c r="P83" i="16" s="1"/>
  <c r="Q83" i="16" a="1"/>
  <c r="Q83" i="16" s="1"/>
  <c r="T83" i="16"/>
  <c r="U83" i="16"/>
  <c r="AF83" i="16"/>
  <c r="AG83" i="16"/>
  <c r="X83" i="16" s="1"/>
  <c r="G84" i="16" a="1"/>
  <c r="G84" i="16" s="1"/>
  <c r="H84" i="16" a="1"/>
  <c r="H84" i="16" s="1"/>
  <c r="I84" i="16" a="1"/>
  <c r="I84" i="16" s="1"/>
  <c r="J84" i="16" a="1"/>
  <c r="J84" i="16" s="1"/>
  <c r="K84" i="16" a="1"/>
  <c r="K84" i="16" s="1"/>
  <c r="L84" i="16" a="1"/>
  <c r="L84" i="16" s="1"/>
  <c r="M84" i="16" a="1"/>
  <c r="M84" i="16" s="1"/>
  <c r="N84" i="16" a="1"/>
  <c r="N84" i="16" s="1"/>
  <c r="O84" i="16" a="1"/>
  <c r="O84" i="16" s="1"/>
  <c r="P84" i="16" a="1"/>
  <c r="P84" i="16" s="1"/>
  <c r="Q84" i="16" a="1"/>
  <c r="Q84" i="16" s="1"/>
  <c r="T84" i="16"/>
  <c r="U84" i="16"/>
  <c r="AF84" i="16"/>
  <c r="AG84" i="16"/>
  <c r="X84" i="16" s="1"/>
  <c r="G85" i="16" a="1"/>
  <c r="G85" i="16" s="1"/>
  <c r="H85" i="16" a="1"/>
  <c r="H85" i="16" s="1"/>
  <c r="I85" i="16" a="1"/>
  <c r="I85" i="16" s="1"/>
  <c r="J85" i="16" a="1"/>
  <c r="J85" i="16" s="1"/>
  <c r="K85" i="16" a="1"/>
  <c r="K85" i="16" s="1"/>
  <c r="L85" i="16" a="1"/>
  <c r="L85" i="16" s="1"/>
  <c r="M85" i="16" a="1"/>
  <c r="M85" i="16" s="1"/>
  <c r="N85" i="16" a="1"/>
  <c r="N85" i="16" s="1"/>
  <c r="O85" i="16" a="1"/>
  <c r="O85" i="16" s="1"/>
  <c r="P85" i="16" a="1"/>
  <c r="P85" i="16" s="1"/>
  <c r="Q85" i="16" a="1"/>
  <c r="Q85" i="16" s="1"/>
  <c r="T85" i="16"/>
  <c r="U85" i="16"/>
  <c r="AF85" i="16"/>
  <c r="AG85" i="16"/>
  <c r="X85" i="16" s="1"/>
  <c r="V49" i="16" l="1"/>
  <c r="V59" i="16"/>
  <c r="V81" i="16"/>
  <c r="V35" i="16"/>
  <c r="V73" i="16"/>
  <c r="V53" i="16"/>
  <c r="V37" i="16"/>
  <c r="E73" i="16"/>
  <c r="V41" i="16"/>
  <c r="V17" i="16"/>
  <c r="V45" i="16"/>
  <c r="V58" i="16"/>
  <c r="V25" i="16"/>
  <c r="V46" i="16"/>
  <c r="V27" i="16"/>
  <c r="V23" i="16"/>
  <c r="V18" i="16"/>
  <c r="V68" i="16"/>
  <c r="V83" i="16"/>
  <c r="V70" i="16"/>
  <c r="V56" i="16"/>
  <c r="V50" i="16"/>
  <c r="V42" i="16"/>
  <c r="V13" i="16"/>
  <c r="V66" i="16"/>
  <c r="V26" i="16"/>
  <c r="F74" i="16"/>
  <c r="V54" i="16"/>
  <c r="V34" i="16"/>
  <c r="V16" i="16"/>
  <c r="V67" i="16"/>
  <c r="V22" i="16"/>
  <c r="V61" i="16"/>
  <c r="V38" i="16"/>
  <c r="V30" i="16"/>
  <c r="V29" i="16"/>
  <c r="V80" i="16"/>
  <c r="V63" i="16"/>
  <c r="V57" i="16"/>
  <c r="V20" i="16"/>
  <c r="V69" i="16"/>
  <c r="V74" i="16"/>
  <c r="V21" i="16"/>
  <c r="V28" i="16"/>
  <c r="V44" i="16"/>
  <c r="E20" i="16"/>
  <c r="R57" i="16"/>
  <c r="R65" i="16"/>
  <c r="V48" i="16"/>
  <c r="R19" i="16"/>
  <c r="F84" i="16"/>
  <c r="R38" i="16"/>
  <c r="V79" i="16"/>
  <c r="R76" i="16"/>
  <c r="V60" i="16"/>
  <c r="R55" i="16"/>
  <c r="R48" i="16"/>
  <c r="V32" i="16"/>
  <c r="V84" i="16"/>
  <c r="V15" i="16"/>
  <c r="R72" i="16"/>
  <c r="E24" i="16"/>
  <c r="F48" i="16"/>
  <c r="V76" i="16"/>
  <c r="V75" i="16"/>
  <c r="V65" i="16"/>
  <c r="V52" i="16"/>
  <c r="V78" i="16"/>
  <c r="V64" i="16"/>
  <c r="R21" i="16"/>
  <c r="V85" i="16"/>
  <c r="R80" i="16"/>
  <c r="R79" i="16"/>
  <c r="F72" i="16"/>
  <c r="F26" i="16"/>
  <c r="F46" i="16"/>
  <c r="F45" i="16"/>
  <c r="F44" i="16"/>
  <c r="E35" i="16"/>
  <c r="F83" i="16"/>
  <c r="E82" i="16"/>
  <c r="F71" i="16"/>
  <c r="F21" i="16"/>
  <c r="F47" i="16"/>
  <c r="F57" i="16"/>
  <c r="F33" i="16"/>
  <c r="E23" i="16"/>
  <c r="E80" i="16"/>
  <c r="F32" i="16"/>
  <c r="F59" i="16"/>
  <c r="E34" i="16"/>
  <c r="E53" i="16"/>
  <c r="E40" i="16"/>
  <c r="E41" i="16"/>
  <c r="E60" i="16"/>
  <c r="F14" i="16"/>
  <c r="F63" i="16"/>
  <c r="E28" i="16"/>
  <c r="E17" i="16"/>
  <c r="E29" i="16"/>
  <c r="F61" i="16"/>
  <c r="E77" i="16"/>
  <c r="E50" i="16"/>
  <c r="F16" i="16"/>
  <c r="F76" i="16"/>
  <c r="E52" i="16"/>
  <c r="F51" i="16"/>
  <c r="F49" i="16"/>
  <c r="E37" i="16"/>
  <c r="F64" i="16"/>
  <c r="F62" i="16"/>
  <c r="F54" i="16"/>
  <c r="F31" i="16"/>
  <c r="F79" i="16"/>
  <c r="F43" i="16"/>
  <c r="F66" i="16"/>
  <c r="F42" i="16"/>
  <c r="R66" i="16"/>
  <c r="R75" i="16"/>
  <c r="R26" i="16"/>
  <c r="R84" i="16"/>
  <c r="R83" i="16"/>
  <c r="R82" i="16"/>
  <c r="R23" i="16"/>
  <c r="R81" i="16"/>
  <c r="R74" i="16"/>
  <c r="Y74" i="16" s="1"/>
  <c r="Z74" i="16" s="1"/>
  <c r="R60" i="16"/>
  <c r="R69" i="16"/>
  <c r="R59" i="16"/>
  <c r="R52" i="16"/>
  <c r="V33" i="16"/>
  <c r="F75" i="16"/>
  <c r="R41" i="16"/>
  <c r="R39" i="16"/>
  <c r="R33" i="16"/>
  <c r="R29" i="16"/>
  <c r="R14" i="16"/>
  <c r="R34" i="16"/>
  <c r="R61" i="16"/>
  <c r="R46" i="16"/>
  <c r="F81" i="16"/>
  <c r="E85" i="16"/>
  <c r="V71" i="16"/>
  <c r="F69" i="16"/>
  <c r="F67" i="16"/>
  <c r="E65" i="16"/>
  <c r="R58" i="16"/>
  <c r="R42" i="16"/>
  <c r="V40" i="16"/>
  <c r="R20" i="16"/>
  <c r="V19" i="16"/>
  <c r="V51" i="16"/>
  <c r="R35" i="16"/>
  <c r="R71" i="16"/>
  <c r="R47" i="16"/>
  <c r="R56" i="16"/>
  <c r="E58" i="16"/>
  <c r="F58" i="16"/>
  <c r="R22" i="16"/>
  <c r="R31" i="16"/>
  <c r="R85" i="16"/>
  <c r="R64" i="16"/>
  <c r="E55" i="16"/>
  <c r="F55" i="16"/>
  <c r="R54" i="16"/>
  <c r="E68" i="16"/>
  <c r="F68" i="16"/>
  <c r="E19" i="16"/>
  <c r="F19" i="16"/>
  <c r="R77" i="16"/>
  <c r="R62" i="16"/>
  <c r="R43" i="16"/>
  <c r="V47" i="16"/>
  <c r="R45" i="16"/>
  <c r="E38" i="16"/>
  <c r="F38" i="16"/>
  <c r="V55" i="16"/>
  <c r="R36" i="16"/>
  <c r="R28" i="16"/>
  <c r="R17" i="16"/>
  <c r="E78" i="16"/>
  <c r="F78" i="16"/>
  <c r="R53" i="16"/>
  <c r="V82" i="16"/>
  <c r="V62" i="16"/>
  <c r="R50" i="16"/>
  <c r="R78" i="16"/>
  <c r="V77" i="16"/>
  <c r="R70" i="16"/>
  <c r="R73" i="16"/>
  <c r="V72" i="16"/>
  <c r="F70" i="16"/>
  <c r="R67" i="16"/>
  <c r="R44" i="16"/>
  <c r="V14" i="16"/>
  <c r="V43" i="16"/>
  <c r="R24" i="16"/>
  <c r="E22" i="16"/>
  <c r="R51" i="16"/>
  <c r="R49" i="16"/>
  <c r="R40" i="16"/>
  <c r="R68" i="16"/>
  <c r="R63" i="16"/>
  <c r="E39" i="16"/>
  <c r="F39" i="16"/>
  <c r="R32" i="16"/>
  <c r="V31" i="16"/>
  <c r="R15" i="16"/>
  <c r="R18" i="16"/>
  <c r="Y18" i="16" s="1"/>
  <c r="Z18" i="16" s="1"/>
  <c r="E15" i="16"/>
  <c r="F15" i="16"/>
  <c r="F56" i="16"/>
  <c r="F36" i="16"/>
  <c r="R27" i="16"/>
  <c r="V24" i="16"/>
  <c r="V36" i="16"/>
  <c r="R30" i="16"/>
  <c r="E27" i="16"/>
  <c r="F27" i="16"/>
  <c r="R13" i="16"/>
  <c r="R37" i="16"/>
  <c r="R25" i="16"/>
  <c r="R16" i="16"/>
  <c r="V39" i="16"/>
  <c r="F30" i="16"/>
  <c r="F18" i="16"/>
  <c r="F25" i="16"/>
  <c r="F13" i="16"/>
  <c r="Y49" i="16" l="1"/>
  <c r="Z49" i="16" s="1"/>
  <c r="Y59" i="16"/>
  <c r="Z59" i="16" s="1"/>
  <c r="Y73" i="16"/>
  <c r="Z73" i="16" s="1"/>
  <c r="Y16" i="16"/>
  <c r="Z16" i="16" s="1"/>
  <c r="Y81" i="16"/>
  <c r="Z81" i="16" s="1"/>
  <c r="Y45" i="16"/>
  <c r="Z45" i="16" s="1"/>
  <c r="Y56" i="16"/>
  <c r="Z56" i="16" s="1"/>
  <c r="Y46" i="16"/>
  <c r="Z46" i="16" s="1"/>
  <c r="Y69" i="16"/>
  <c r="Z69" i="16" s="1"/>
  <c r="Y66" i="16"/>
  <c r="Z66" i="16" s="1"/>
  <c r="Y26" i="16"/>
  <c r="Z26" i="16" s="1"/>
  <c r="Y70" i="16"/>
  <c r="Z70" i="16" s="1"/>
  <c r="Y54" i="16"/>
  <c r="Z54" i="16" s="1"/>
  <c r="Y30" i="16"/>
  <c r="Z30" i="16" s="1"/>
  <c r="Y25" i="16"/>
  <c r="Z25" i="16" s="1"/>
  <c r="Y13" i="16"/>
  <c r="Z13" i="16" s="1"/>
  <c r="Y42" i="16"/>
  <c r="Z42" i="16" s="1"/>
  <c r="Y83" i="16"/>
  <c r="Z83" i="16" s="1"/>
  <c r="Y67" i="16"/>
  <c r="Z67" i="16" s="1"/>
  <c r="Y21" i="16"/>
  <c r="Z21" i="16" s="1"/>
  <c r="Y57" i="16"/>
  <c r="Z57" i="16" s="1"/>
  <c r="Y63" i="16"/>
  <c r="Z63" i="16" s="1"/>
  <c r="Y38" i="16"/>
  <c r="Z38" i="16" s="1"/>
  <c r="Y61" i="16"/>
  <c r="Z61" i="16" s="1"/>
  <c r="Y44" i="16"/>
  <c r="Z44" i="16" s="1"/>
  <c r="Y20" i="16"/>
  <c r="Z20" i="16" s="1"/>
  <c r="Y32" i="16"/>
  <c r="Z32" i="16" s="1"/>
  <c r="Y84" i="16"/>
  <c r="Z84" i="16" s="1"/>
  <c r="Y76" i="16"/>
  <c r="Z76" i="16" s="1"/>
  <c r="Y34" i="16"/>
  <c r="Z34" i="16" s="1"/>
  <c r="Y65" i="16"/>
  <c r="Z65" i="16" s="1"/>
  <c r="Y48" i="16"/>
  <c r="Z48" i="16" s="1"/>
  <c r="Y53" i="16"/>
  <c r="Z53" i="16" s="1"/>
  <c r="Y79" i="16"/>
  <c r="Z79" i="16" s="1"/>
  <c r="Y64" i="16"/>
  <c r="Z64" i="16" s="1"/>
  <c r="Y80" i="16"/>
  <c r="Z80" i="16" s="1"/>
  <c r="Y72" i="16"/>
  <c r="Z72" i="16" s="1"/>
  <c r="Y75" i="16"/>
  <c r="Z75" i="16" s="1"/>
  <c r="Y50" i="16"/>
  <c r="Z50" i="16" s="1"/>
  <c r="Y60" i="16"/>
  <c r="Z60" i="16" s="1"/>
  <c r="Y35" i="16"/>
  <c r="Z35" i="16" s="1"/>
  <c r="Y23" i="16"/>
  <c r="Z23" i="16" s="1"/>
  <c r="Y43" i="16"/>
  <c r="Z43" i="16" s="1"/>
  <c r="Y29" i="16"/>
  <c r="Z29" i="16" s="1"/>
  <c r="Y77" i="16"/>
  <c r="Z77" i="16" s="1"/>
  <c r="Y58" i="16"/>
  <c r="Z58" i="16" s="1"/>
  <c r="Y31" i="16"/>
  <c r="Z31" i="16" s="1"/>
  <c r="Y71" i="16"/>
  <c r="Z71" i="16" s="1"/>
  <c r="Y36" i="16"/>
  <c r="Z36" i="16" s="1"/>
  <c r="Y41" i="16"/>
  <c r="Z41" i="16" s="1"/>
  <c r="Y39" i="16"/>
  <c r="Z39" i="16" s="1"/>
  <c r="Y33" i="16"/>
  <c r="Z33" i="16" s="1"/>
  <c r="Y24" i="16"/>
  <c r="Z24" i="16" s="1"/>
  <c r="Y14" i="16"/>
  <c r="Z14" i="16" s="1"/>
  <c r="Y51" i="16"/>
  <c r="Z51" i="16" s="1"/>
  <c r="Y82" i="16"/>
  <c r="Z82" i="16" s="1"/>
  <c r="Y55" i="16"/>
  <c r="Z55" i="16" s="1"/>
  <c r="Y17" i="16"/>
  <c r="Z17" i="16" s="1"/>
  <c r="Y78" i="16"/>
  <c r="Z78" i="16" s="1"/>
  <c r="Y85" i="16"/>
  <c r="Z85" i="16" s="1"/>
  <c r="Y47" i="16"/>
  <c r="Z47" i="16" s="1"/>
  <c r="Y62" i="16"/>
  <c r="Z62" i="16" s="1"/>
  <c r="Y40" i="16"/>
  <c r="Z40" i="16" s="1"/>
  <c r="Y37" i="16"/>
  <c r="Z37" i="16" s="1"/>
  <c r="Y28" i="16"/>
  <c r="Z28" i="16" s="1"/>
  <c r="Y52" i="16"/>
  <c r="Z52" i="16" s="1"/>
  <c r="Y22" i="16"/>
  <c r="Z22" i="16" s="1"/>
  <c r="Y15" i="16"/>
  <c r="Z15" i="16" s="1"/>
  <c r="Y19" i="16"/>
  <c r="Z19" i="16" s="1"/>
  <c r="Y27" i="16"/>
  <c r="Z27" i="16" s="1"/>
  <c r="Y68" i="16"/>
  <c r="Z68" i="16" s="1"/>
  <c r="C33" i="8" l="1"/>
  <c r="C34" i="8"/>
  <c r="N78" i="7"/>
  <c r="M78" i="7"/>
  <c r="L78" i="7"/>
  <c r="F78" i="7"/>
  <c r="D78" i="7"/>
  <c r="C78" i="7"/>
  <c r="N20" i="7"/>
  <c r="M20" i="7"/>
  <c r="L20" i="7"/>
  <c r="F20" i="7"/>
  <c r="D20" i="7"/>
  <c r="C20" i="7"/>
  <c r="N26" i="7"/>
  <c r="M26" i="7"/>
  <c r="L26" i="7"/>
  <c r="F26" i="7"/>
  <c r="D26" i="7"/>
  <c r="C26" i="7"/>
  <c r="N29" i="7"/>
  <c r="M29" i="7"/>
  <c r="L29" i="7"/>
  <c r="F29" i="7"/>
  <c r="D29" i="7"/>
  <c r="C29" i="7"/>
  <c r="N28" i="7"/>
  <c r="M28" i="7"/>
  <c r="L28" i="7"/>
  <c r="F28" i="7"/>
  <c r="D28" i="7"/>
  <c r="C28" i="7"/>
  <c r="N13" i="7"/>
  <c r="M13" i="7"/>
  <c r="L13" i="7"/>
  <c r="F13" i="7"/>
  <c r="D13" i="7"/>
  <c r="C13" i="7"/>
  <c r="N54" i="7"/>
  <c r="M54" i="7"/>
  <c r="L54" i="7"/>
  <c r="F54" i="7"/>
  <c r="D54" i="7"/>
  <c r="C54" i="7"/>
  <c r="N55" i="7"/>
  <c r="M55" i="7"/>
  <c r="L55" i="7"/>
  <c r="F55" i="7"/>
  <c r="D55" i="7"/>
  <c r="C55" i="7"/>
  <c r="N9" i="7"/>
  <c r="M9" i="7"/>
  <c r="L9" i="7"/>
  <c r="F9" i="7"/>
  <c r="D9" i="7"/>
  <c r="C9" i="7"/>
  <c r="N27" i="7"/>
  <c r="M27" i="7"/>
  <c r="L27" i="7"/>
  <c r="F27" i="7"/>
  <c r="D27" i="7"/>
  <c r="C27" i="7"/>
  <c r="N30" i="7"/>
  <c r="M30" i="7"/>
  <c r="L30" i="7"/>
  <c r="F30" i="7"/>
  <c r="D30" i="7"/>
  <c r="C30" i="7"/>
  <c r="N49" i="7"/>
  <c r="M49" i="7"/>
  <c r="L49" i="7"/>
  <c r="F49" i="7"/>
  <c r="D49" i="7"/>
  <c r="C49" i="7"/>
  <c r="N51" i="7"/>
  <c r="M51" i="7"/>
  <c r="L51" i="7"/>
  <c r="F51" i="7"/>
  <c r="D51" i="7"/>
  <c r="C51" i="7"/>
  <c r="F5" i="7"/>
  <c r="F6" i="7"/>
  <c r="F7" i="7"/>
  <c r="F8" i="7"/>
  <c r="F10" i="7"/>
  <c r="F11" i="7"/>
  <c r="F12" i="7"/>
  <c r="F14" i="7"/>
  <c r="F15" i="7"/>
  <c r="F16" i="7"/>
  <c r="F17" i="7"/>
  <c r="F18" i="7"/>
  <c r="F25" i="7"/>
  <c r="F19" i="7"/>
  <c r="F21" i="7"/>
  <c r="F22" i="7"/>
  <c r="F23" i="7"/>
  <c r="F24" i="7"/>
  <c r="F31" i="7"/>
  <c r="F32" i="7"/>
  <c r="F33" i="7"/>
  <c r="F34" i="7"/>
  <c r="F35" i="7"/>
  <c r="F36" i="7"/>
  <c r="F37" i="7"/>
  <c r="F38" i="7"/>
  <c r="F39" i="7"/>
  <c r="F40" i="7"/>
  <c r="F41" i="7"/>
  <c r="F42" i="7"/>
  <c r="F43" i="7"/>
  <c r="F44" i="7"/>
  <c r="F45" i="7"/>
  <c r="F46" i="7"/>
  <c r="F47" i="7"/>
  <c r="F48" i="7"/>
  <c r="F50" i="7"/>
  <c r="F52" i="7"/>
  <c r="F53" i="7"/>
  <c r="F56" i="7"/>
  <c r="F57" i="7"/>
  <c r="F58" i="7"/>
  <c r="F59" i="7"/>
  <c r="F60" i="7"/>
  <c r="F61" i="7"/>
  <c r="F62" i="7"/>
  <c r="F63" i="7"/>
  <c r="F64" i="7"/>
  <c r="F66" i="7"/>
  <c r="F67" i="7"/>
  <c r="F68" i="7"/>
  <c r="F65" i="7"/>
  <c r="F69" i="7"/>
  <c r="F70" i="7"/>
  <c r="F71" i="7"/>
  <c r="F72" i="7"/>
  <c r="F73" i="7"/>
  <c r="F74" i="7"/>
  <c r="F75" i="7"/>
  <c r="F76" i="7"/>
  <c r="F77" i="7"/>
  <c r="F79" i="7"/>
  <c r="F80" i="7"/>
  <c r="F81" i="7"/>
  <c r="F4" i="7"/>
  <c r="E49" i="7" l="1"/>
  <c r="K50" i="4" s="1"/>
  <c r="E27" i="7"/>
  <c r="K28" i="4" s="1"/>
  <c r="E55" i="7"/>
  <c r="K56" i="4" s="1"/>
  <c r="E13" i="7"/>
  <c r="K14" i="4" s="1"/>
  <c r="E29" i="7"/>
  <c r="K31" i="4" s="1"/>
  <c r="E20" i="7"/>
  <c r="E26" i="7"/>
  <c r="K26" i="4" s="1"/>
  <c r="E78" i="7"/>
  <c r="K79" i="4" s="1"/>
  <c r="E28" i="7"/>
  <c r="K29" i="4" s="1"/>
  <c r="E51" i="7"/>
  <c r="K52" i="4" s="1"/>
  <c r="E30" i="7"/>
  <c r="K32" i="4" s="1"/>
  <c r="E9" i="7"/>
  <c r="K10" i="4" s="1"/>
  <c r="E54" i="7"/>
  <c r="K55" i="4" s="1"/>
  <c r="S20" i="7" l="1"/>
  <c r="K21" i="4"/>
  <c r="G49" i="7"/>
  <c r="E50" i="4"/>
  <c r="Y50" i="4" s="1"/>
  <c r="I50" i="4"/>
  <c r="G54" i="7"/>
  <c r="E55" i="4"/>
  <c r="Y55" i="4" s="1"/>
  <c r="I55" i="4"/>
  <c r="G30" i="7"/>
  <c r="E32" i="4"/>
  <c r="Y32" i="4" s="1"/>
  <c r="I32" i="4"/>
  <c r="G28" i="7"/>
  <c r="I29" i="4"/>
  <c r="E29" i="4"/>
  <c r="Y29" i="4" s="1"/>
  <c r="R20" i="7"/>
  <c r="E21" i="4"/>
  <c r="Y21" i="4" s="1"/>
  <c r="I21" i="4"/>
  <c r="R29" i="7"/>
  <c r="I31" i="4"/>
  <c r="E31" i="4"/>
  <c r="Y31" i="4" s="1"/>
  <c r="S13" i="7"/>
  <c r="I14" i="4"/>
  <c r="E14" i="4"/>
  <c r="Y14" i="4" s="1"/>
  <c r="G9" i="7"/>
  <c r="I10" i="4"/>
  <c r="E10" i="4"/>
  <c r="Y10" i="4" s="1"/>
  <c r="R55" i="7"/>
  <c r="I56" i="4"/>
  <c r="E56" i="4"/>
  <c r="Y56" i="4" s="1"/>
  <c r="R27" i="7"/>
  <c r="I28" i="4"/>
  <c r="E28" i="4"/>
  <c r="Y28" i="4" s="1"/>
  <c r="S51" i="7"/>
  <c r="I52" i="4"/>
  <c r="E52" i="4"/>
  <c r="Y52" i="4" s="1"/>
  <c r="G20" i="7"/>
  <c r="G29" i="7"/>
  <c r="G78" i="7"/>
  <c r="I79" i="4"/>
  <c r="E79" i="4"/>
  <c r="Y79" i="4" s="1"/>
  <c r="S26" i="7"/>
  <c r="I26" i="4"/>
  <c r="E26" i="4"/>
  <c r="Y26" i="4" s="1"/>
  <c r="G13" i="7"/>
  <c r="R13" i="7"/>
  <c r="S55" i="7"/>
  <c r="G55" i="7"/>
  <c r="G27" i="7"/>
  <c r="S49" i="7"/>
  <c r="R49" i="7"/>
  <c r="S27" i="7"/>
  <c r="S29" i="7"/>
  <c r="R26" i="7"/>
  <c r="G26" i="7"/>
  <c r="R78" i="7"/>
  <c r="S78" i="7"/>
  <c r="R51" i="7"/>
  <c r="G51" i="7"/>
  <c r="S9" i="7"/>
  <c r="R9" i="7"/>
  <c r="S30" i="7"/>
  <c r="R30" i="7"/>
  <c r="S28" i="7"/>
  <c r="R28" i="7"/>
  <c r="S54" i="7"/>
  <c r="R54" i="7"/>
  <c r="V31" i="4" l="1"/>
  <c r="X31" i="4" s="1"/>
  <c r="P31" i="4"/>
  <c r="V79" i="4"/>
  <c r="X79" i="4" s="1"/>
  <c r="P79" i="4"/>
  <c r="V21" i="4"/>
  <c r="X21" i="4" s="1"/>
  <c r="P21" i="4"/>
  <c r="V55" i="4"/>
  <c r="X55" i="4" s="1"/>
  <c r="P55" i="4"/>
  <c r="V52" i="4"/>
  <c r="X52" i="4" s="1"/>
  <c r="P52" i="4"/>
  <c r="V10" i="4"/>
  <c r="X10" i="4" s="1"/>
  <c r="P10" i="4"/>
  <c r="P32" i="4"/>
  <c r="V32" i="4"/>
  <c r="X32" i="4" s="1"/>
  <c r="V56" i="4"/>
  <c r="X56" i="4" s="1"/>
  <c r="P56" i="4"/>
  <c r="V50" i="4"/>
  <c r="X50" i="4" s="1"/>
  <c r="P50" i="4"/>
  <c r="V28" i="4"/>
  <c r="X28" i="4" s="1"/>
  <c r="P28" i="4"/>
  <c r="P29" i="4"/>
  <c r="V29" i="4"/>
  <c r="X29" i="4" s="1"/>
  <c r="C5" i="7"/>
  <c r="D5" i="7"/>
  <c r="C6" i="7"/>
  <c r="D6" i="7"/>
  <c r="C7" i="7"/>
  <c r="D7" i="7"/>
  <c r="C8" i="7"/>
  <c r="D8" i="7"/>
  <c r="C10" i="7"/>
  <c r="D10" i="7"/>
  <c r="C11" i="7"/>
  <c r="D11" i="7"/>
  <c r="C12" i="7"/>
  <c r="D12" i="7"/>
  <c r="C14" i="7"/>
  <c r="D14" i="7"/>
  <c r="C15" i="7"/>
  <c r="D15" i="7"/>
  <c r="C16" i="7"/>
  <c r="D16" i="7"/>
  <c r="C17" i="7"/>
  <c r="D17" i="7"/>
  <c r="C18" i="7"/>
  <c r="D18" i="7"/>
  <c r="C25" i="7"/>
  <c r="D25" i="7"/>
  <c r="C19" i="7"/>
  <c r="D19" i="7"/>
  <c r="C21" i="7"/>
  <c r="D21" i="7"/>
  <c r="C22" i="7"/>
  <c r="D22" i="7"/>
  <c r="C23" i="7"/>
  <c r="D23" i="7"/>
  <c r="C24" i="7"/>
  <c r="D24" i="7"/>
  <c r="C31" i="7"/>
  <c r="D31" i="7"/>
  <c r="C32" i="7"/>
  <c r="D32" i="7"/>
  <c r="C33" i="7"/>
  <c r="D33" i="7"/>
  <c r="C34" i="7"/>
  <c r="D34" i="7"/>
  <c r="C35" i="7"/>
  <c r="D35" i="7"/>
  <c r="C36" i="7"/>
  <c r="D36" i="7"/>
  <c r="C37" i="7"/>
  <c r="D37" i="7"/>
  <c r="C38" i="7"/>
  <c r="D38" i="7"/>
  <c r="C39" i="7"/>
  <c r="D39" i="7"/>
  <c r="C40" i="7"/>
  <c r="D40" i="7"/>
  <c r="C41" i="7"/>
  <c r="D41" i="7"/>
  <c r="C42" i="7"/>
  <c r="D42" i="7"/>
  <c r="C43" i="7"/>
  <c r="D43" i="7"/>
  <c r="C44" i="7"/>
  <c r="D44" i="7"/>
  <c r="C45" i="7"/>
  <c r="D45" i="7"/>
  <c r="C46" i="7"/>
  <c r="D46" i="7"/>
  <c r="C47" i="7"/>
  <c r="D47" i="7"/>
  <c r="C48" i="7"/>
  <c r="D48" i="7"/>
  <c r="C50" i="7"/>
  <c r="D50" i="7"/>
  <c r="C52" i="7"/>
  <c r="D52" i="7"/>
  <c r="C53" i="7"/>
  <c r="D53" i="7"/>
  <c r="C56" i="7"/>
  <c r="D56" i="7"/>
  <c r="C57" i="7"/>
  <c r="D57" i="7"/>
  <c r="C58" i="7"/>
  <c r="D58" i="7"/>
  <c r="C59" i="7"/>
  <c r="D59" i="7"/>
  <c r="C60" i="7"/>
  <c r="D60" i="7"/>
  <c r="C61" i="7"/>
  <c r="D61" i="7"/>
  <c r="C62" i="7"/>
  <c r="D62" i="7"/>
  <c r="C63" i="7"/>
  <c r="D63" i="7"/>
  <c r="C64" i="7"/>
  <c r="D64" i="7"/>
  <c r="C66" i="7"/>
  <c r="D66" i="7"/>
  <c r="C67" i="7"/>
  <c r="D67" i="7"/>
  <c r="C68" i="7"/>
  <c r="D68" i="7"/>
  <c r="C65" i="7"/>
  <c r="D65" i="7"/>
  <c r="C69" i="7"/>
  <c r="D69" i="7"/>
  <c r="C70" i="7"/>
  <c r="D70" i="7"/>
  <c r="C71" i="7"/>
  <c r="D71" i="7"/>
  <c r="C72" i="7"/>
  <c r="D72" i="7"/>
  <c r="C73" i="7"/>
  <c r="D73" i="7"/>
  <c r="C74" i="7"/>
  <c r="D74" i="7"/>
  <c r="C75" i="7"/>
  <c r="D75" i="7"/>
  <c r="C76" i="7"/>
  <c r="D76" i="7"/>
  <c r="C77" i="7"/>
  <c r="D77" i="7"/>
  <c r="C79" i="7"/>
  <c r="D79" i="7"/>
  <c r="C80" i="7"/>
  <c r="D80" i="7"/>
  <c r="C81" i="7"/>
  <c r="D81" i="7"/>
  <c r="D4" i="7"/>
  <c r="C4" i="7"/>
  <c r="N52" i="7"/>
  <c r="M52" i="7"/>
  <c r="L52" i="7"/>
  <c r="N58" i="7"/>
  <c r="M58" i="7"/>
  <c r="L58" i="7"/>
  <c r="N21" i="7"/>
  <c r="M21" i="7"/>
  <c r="L21" i="7"/>
  <c r="N14" i="7"/>
  <c r="M14" i="7"/>
  <c r="L14" i="7"/>
  <c r="N15" i="7"/>
  <c r="M15" i="7"/>
  <c r="L15" i="7"/>
  <c r="L79" i="7"/>
  <c r="M79" i="7"/>
  <c r="N79" i="7"/>
  <c r="L12" i="7"/>
  <c r="M12" i="7"/>
  <c r="N12" i="7"/>
  <c r="L64" i="7"/>
  <c r="M64" i="7"/>
  <c r="N64" i="7"/>
  <c r="E15" i="7" l="1"/>
  <c r="K16" i="4" s="1"/>
  <c r="E52" i="7"/>
  <c r="K53" i="4" s="1"/>
  <c r="E21" i="7"/>
  <c r="K22" i="4" s="1"/>
  <c r="E58" i="7"/>
  <c r="K59" i="4" s="1"/>
  <c r="E14" i="7"/>
  <c r="K15" i="4" s="1"/>
  <c r="E12" i="7"/>
  <c r="K13" i="4" s="1"/>
  <c r="E79" i="7"/>
  <c r="K80" i="4" s="1"/>
  <c r="E64" i="7"/>
  <c r="K65" i="4" s="1"/>
  <c r="D25" i="5"/>
  <c r="D24" i="5"/>
  <c r="D19" i="5"/>
  <c r="D18" i="5"/>
  <c r="D27" i="5"/>
  <c r="D26" i="5"/>
  <c r="D23" i="5"/>
  <c r="D22" i="5"/>
  <c r="D21" i="5"/>
  <c r="D20" i="5"/>
  <c r="D16" i="5"/>
  <c r="D15" i="5"/>
  <c r="D12" i="5"/>
  <c r="D11" i="5"/>
  <c r="D10" i="5"/>
  <c r="D9" i="5"/>
  <c r="D8" i="5"/>
  <c r="D7" i="5"/>
  <c r="D6" i="5"/>
  <c r="D5" i="5"/>
  <c r="D4" i="5"/>
  <c r="D1" i="5"/>
  <c r="G4" i="7"/>
  <c r="U4" i="7" s="1"/>
  <c r="M14" i="4" l="1"/>
  <c r="M21" i="4"/>
  <c r="M50" i="4"/>
  <c r="M10" i="4"/>
  <c r="M31" i="4"/>
  <c r="M28" i="4"/>
  <c r="M32" i="4"/>
  <c r="M26" i="4"/>
  <c r="M29" i="4"/>
  <c r="M52" i="4"/>
  <c r="M55" i="4"/>
  <c r="M79" i="4"/>
  <c r="M56" i="4"/>
  <c r="N79" i="4"/>
  <c r="N56" i="4"/>
  <c r="N55" i="4"/>
  <c r="N59" i="4"/>
  <c r="N52" i="4"/>
  <c r="N53" i="4"/>
  <c r="N65" i="4"/>
  <c r="N80" i="4"/>
  <c r="L80" i="4" a="1"/>
  <c r="L80" i="4" s="1"/>
  <c r="L59" i="4" a="1"/>
  <c r="L59" i="4" s="1"/>
  <c r="L55" i="4" a="1"/>
  <c r="L55" i="4" s="1"/>
  <c r="L79" i="4" a="1"/>
  <c r="L79" i="4" s="1"/>
  <c r="L65" i="4" a="1"/>
  <c r="L65" i="4" s="1"/>
  <c r="L29" i="4" a="1"/>
  <c r="L29" i="4" s="1"/>
  <c r="L13" i="4" a="1"/>
  <c r="L13" i="4" s="1"/>
  <c r="L15" i="4" a="1"/>
  <c r="L15" i="4" s="1"/>
  <c r="L21" i="4" a="1"/>
  <c r="L21" i="4" s="1"/>
  <c r="L22" i="4" a="1"/>
  <c r="L22" i="4" s="1"/>
  <c r="L16" i="4" a="1"/>
  <c r="L16" i="4" s="1"/>
  <c r="L56" i="4" a="1"/>
  <c r="L56" i="4" s="1"/>
  <c r="L52" i="4" a="1"/>
  <c r="L52" i="4" s="1"/>
  <c r="L53" i="4" a="1"/>
  <c r="L53" i="4" s="1"/>
  <c r="N15" i="4"/>
  <c r="N10" i="4"/>
  <c r="N17" i="4"/>
  <c r="N29" i="4"/>
  <c r="N21" i="4"/>
  <c r="N22" i="4"/>
  <c r="N31" i="4"/>
  <c r="N16" i="4"/>
  <c r="N28" i="4"/>
  <c r="N13" i="4"/>
  <c r="N14" i="4"/>
  <c r="N32" i="4"/>
  <c r="N26" i="4"/>
  <c r="N50" i="4"/>
  <c r="L28" i="4" a="1"/>
  <c r="L28" i="4" s="1"/>
  <c r="L14" i="4" a="1"/>
  <c r="L14" i="4" s="1"/>
  <c r="L17" i="4" a="1"/>
  <c r="L17" i="4" s="1"/>
  <c r="L26" i="4" a="1"/>
  <c r="L26" i="4" s="1"/>
  <c r="L31" i="4" a="1"/>
  <c r="L31" i="4" s="1"/>
  <c r="L10" i="4" a="1"/>
  <c r="L10" i="4" s="1"/>
  <c r="L32" i="4" a="1"/>
  <c r="L32" i="4" s="1"/>
  <c r="L50" i="4" a="1"/>
  <c r="L50" i="4" s="1"/>
  <c r="S15" i="7"/>
  <c r="E16" i="4"/>
  <c r="Y16" i="4" s="1"/>
  <c r="I16" i="4"/>
  <c r="R64" i="7"/>
  <c r="E65" i="4"/>
  <c r="Y65" i="4" s="1"/>
  <c r="I65" i="4"/>
  <c r="G79" i="7"/>
  <c r="I80" i="4"/>
  <c r="E80" i="4"/>
  <c r="Y80" i="4" s="1"/>
  <c r="R12" i="7"/>
  <c r="I13" i="4"/>
  <c r="E13" i="4"/>
  <c r="Y13" i="4" s="1"/>
  <c r="S14" i="7"/>
  <c r="I15" i="4"/>
  <c r="E15" i="4"/>
  <c r="Y15" i="4" s="1"/>
  <c r="G58" i="7"/>
  <c r="I59" i="4"/>
  <c r="E59" i="4"/>
  <c r="Y59" i="4" s="1"/>
  <c r="G21" i="7"/>
  <c r="E22" i="4"/>
  <c r="Y22" i="4" s="1"/>
  <c r="I22" i="4"/>
  <c r="G52" i="7"/>
  <c r="E53" i="4"/>
  <c r="Y53" i="4" s="1"/>
  <c r="I53" i="4"/>
  <c r="G15" i="7"/>
  <c r="R15" i="7"/>
  <c r="R21" i="7"/>
  <c r="S21" i="7"/>
  <c r="S64" i="7"/>
  <c r="R52" i="7"/>
  <c r="S52" i="7"/>
  <c r="S58" i="7"/>
  <c r="R58" i="7"/>
  <c r="G14" i="7"/>
  <c r="R14" i="7"/>
  <c r="S12" i="7"/>
  <c r="G12" i="7"/>
  <c r="G64" i="7"/>
  <c r="S79" i="7"/>
  <c r="R79" i="7"/>
  <c r="M59" i="4" l="1"/>
  <c r="O59" i="4" s="1"/>
  <c r="P59" i="4" s="1"/>
  <c r="O79" i="4"/>
  <c r="O29" i="4"/>
  <c r="O55" i="4"/>
  <c r="O26" i="4"/>
  <c r="P26" i="4" s="1"/>
  <c r="O32" i="4"/>
  <c r="O28" i="4"/>
  <c r="O31" i="4"/>
  <c r="O52" i="4"/>
  <c r="O10" i="4"/>
  <c r="O50" i="4"/>
  <c r="O21" i="4"/>
  <c r="O56" i="4"/>
  <c r="O14" i="4"/>
  <c r="P14" i="4" s="1"/>
  <c r="M80" i="4"/>
  <c r="O80" i="4" s="1"/>
  <c r="P80" i="4" s="1"/>
  <c r="M15" i="4"/>
  <c r="O15" i="4" s="1"/>
  <c r="P15" i="4" s="1"/>
  <c r="M13" i="4"/>
  <c r="O13" i="4" s="1"/>
  <c r="M22" i="4"/>
  <c r="O22" i="4" s="1"/>
  <c r="P22" i="4" s="1"/>
  <c r="M16" i="4"/>
  <c r="O16" i="4" s="1"/>
  <c r="M65" i="4"/>
  <c r="O65" i="4" s="1"/>
  <c r="M53" i="4"/>
  <c r="O53" i="4" s="1"/>
  <c r="L16" i="7"/>
  <c r="M16" i="7"/>
  <c r="N16" i="7"/>
  <c r="AO117" i="35"/>
  <c r="AO118" i="35"/>
  <c r="AO119" i="35"/>
  <c r="AO120" i="35"/>
  <c r="AO70" i="35"/>
  <c r="AO71" i="35"/>
  <c r="AO72" i="35"/>
  <c r="AO73" i="35"/>
  <c r="AO74" i="35"/>
  <c r="AO75" i="35"/>
  <c r="AO76" i="35"/>
  <c r="AO77" i="35"/>
  <c r="AO78" i="35"/>
  <c r="AO79" i="35"/>
  <c r="AO80" i="35"/>
  <c r="AO81" i="35"/>
  <c r="AO82" i="35"/>
  <c r="AO83" i="35"/>
  <c r="AO84" i="35"/>
  <c r="AO85" i="35"/>
  <c r="AO86" i="35"/>
  <c r="AO87" i="35"/>
  <c r="AO88" i="35"/>
  <c r="AO89" i="35"/>
  <c r="AO90" i="35"/>
  <c r="AO91" i="35"/>
  <c r="AO92" i="35"/>
  <c r="AO93" i="35"/>
  <c r="AO94" i="35"/>
  <c r="AO95" i="35"/>
  <c r="AO96" i="35"/>
  <c r="AO97" i="35"/>
  <c r="AO98" i="35"/>
  <c r="AO99" i="35"/>
  <c r="AO100" i="35"/>
  <c r="AO101" i="35"/>
  <c r="AO102" i="35"/>
  <c r="AO103" i="35"/>
  <c r="AO104" i="35"/>
  <c r="AO105" i="35"/>
  <c r="AO106" i="35"/>
  <c r="AO107" i="35"/>
  <c r="AO108" i="35"/>
  <c r="AO109" i="35"/>
  <c r="AO110" i="35"/>
  <c r="AO111" i="35"/>
  <c r="AO112" i="35"/>
  <c r="AO113" i="35"/>
  <c r="AO114" i="35"/>
  <c r="AO115" i="35"/>
  <c r="AO116" i="35"/>
  <c r="AO69" i="35"/>
  <c r="AO55" i="35"/>
  <c r="AS55" i="35" s="1" a="1"/>
  <c r="AS55" i="35" s="1"/>
  <c r="AP55" i="35" a="1"/>
  <c r="AP55" i="35" s="1"/>
  <c r="AQ55" i="35" s="1" a="1"/>
  <c r="AQ55" i="35" s="1"/>
  <c r="AO56" i="35"/>
  <c r="AT56" i="35" s="1" a="1"/>
  <c r="AT56" i="35" s="1"/>
  <c r="AP56" i="35" a="1"/>
  <c r="AP56" i="35" s="1"/>
  <c r="AQ56" i="35" s="1" a="1"/>
  <c r="AQ56" i="35" s="1"/>
  <c r="AO57" i="35"/>
  <c r="AR57" i="35" s="1" a="1"/>
  <c r="AR57" i="35" s="1"/>
  <c r="AP57" i="35" a="1"/>
  <c r="AP57" i="35" s="1"/>
  <c r="AQ57" i="35" s="1" a="1"/>
  <c r="AQ57" i="35" s="1"/>
  <c r="AR56" i="35" l="1" a="1"/>
  <c r="AR56" i="35" s="1"/>
  <c r="AT57" i="35" a="1"/>
  <c r="AT57" i="35" s="1"/>
  <c r="AS57" i="35" a="1"/>
  <c r="AS57" i="35" s="1"/>
  <c r="AS56" i="35" a="1"/>
  <c r="AS56" i="35" s="1"/>
  <c r="AU57" i="35" a="1"/>
  <c r="AU57" i="35" s="1"/>
  <c r="AU56" i="35" a="1"/>
  <c r="AU56" i="35" s="1"/>
  <c r="P13" i="4"/>
  <c r="P65" i="4"/>
  <c r="P16" i="4"/>
  <c r="P53" i="4"/>
  <c r="E16" i="7"/>
  <c r="K17" i="4" s="1"/>
  <c r="AT55" i="35" a="1"/>
  <c r="AT55" i="35" s="1"/>
  <c r="AR55" i="35" a="1"/>
  <c r="AR55" i="35" s="1"/>
  <c r="AU55" i="35" a="1"/>
  <c r="AU55" i="35" s="1"/>
  <c r="AV55" i="35" s="1"/>
  <c r="AV56" i="35" l="1"/>
  <c r="AV57" i="35"/>
  <c r="G16" i="7"/>
  <c r="I17" i="4"/>
  <c r="E17" i="4"/>
  <c r="Y17" i="4" s="1"/>
  <c r="S16" i="7"/>
  <c r="R16" i="7"/>
  <c r="L5" i="7"/>
  <c r="L6" i="7"/>
  <c r="L7" i="7"/>
  <c r="L8" i="7"/>
  <c r="L10" i="7"/>
  <c r="L11" i="7"/>
  <c r="L17" i="7"/>
  <c r="L18" i="7"/>
  <c r="L25" i="7"/>
  <c r="L19" i="7"/>
  <c r="L22" i="7"/>
  <c r="L23" i="7"/>
  <c r="L24" i="7"/>
  <c r="L31" i="7"/>
  <c r="L32" i="7"/>
  <c r="L33" i="7"/>
  <c r="L34" i="7"/>
  <c r="L35" i="7"/>
  <c r="L36" i="7"/>
  <c r="L37" i="7"/>
  <c r="L38" i="7"/>
  <c r="L39" i="7"/>
  <c r="L40" i="7"/>
  <c r="L41" i="7"/>
  <c r="L42" i="7"/>
  <c r="L43" i="7"/>
  <c r="L44" i="7"/>
  <c r="L45" i="7"/>
  <c r="L46" i="7"/>
  <c r="L47" i="7"/>
  <c r="L48" i="7"/>
  <c r="L50" i="7"/>
  <c r="L53" i="7"/>
  <c r="L56" i="7"/>
  <c r="L57" i="7"/>
  <c r="L59" i="7"/>
  <c r="L60" i="7"/>
  <c r="L61" i="7"/>
  <c r="L62" i="7"/>
  <c r="L63" i="7"/>
  <c r="L66" i="7"/>
  <c r="L67" i="7"/>
  <c r="L68" i="7"/>
  <c r="L65" i="7"/>
  <c r="L69" i="7"/>
  <c r="L70" i="7"/>
  <c r="L71" i="7"/>
  <c r="L72" i="7"/>
  <c r="L73" i="7"/>
  <c r="L74" i="7"/>
  <c r="L75" i="7"/>
  <c r="L76" i="7"/>
  <c r="L77" i="7"/>
  <c r="L80" i="7"/>
  <c r="L81" i="7"/>
  <c r="L4" i="7"/>
  <c r="Q12" i="16" a="1"/>
  <c r="Q12" i="16" s="1"/>
  <c r="P12" i="16" a="1"/>
  <c r="P12" i="16" s="1"/>
  <c r="O12" i="16" a="1"/>
  <c r="O12" i="16" s="1"/>
  <c r="N12" i="16" a="1"/>
  <c r="N12" i="16" s="1"/>
  <c r="M12" i="16" a="1"/>
  <c r="M12" i="16" s="1"/>
  <c r="L12" i="16" a="1"/>
  <c r="L12" i="16" s="1"/>
  <c r="K12" i="16" a="1"/>
  <c r="K12" i="16" s="1"/>
  <c r="J12" i="16" a="1"/>
  <c r="J12" i="16" s="1"/>
  <c r="I12" i="16" a="1"/>
  <c r="I12" i="16" s="1"/>
  <c r="H12" i="16" a="1"/>
  <c r="H12" i="16" s="1"/>
  <c r="G12" i="16" a="1"/>
  <c r="G12" i="16" s="1"/>
  <c r="Q11" i="16" a="1"/>
  <c r="Q11" i="16" s="1"/>
  <c r="P11" i="16" a="1"/>
  <c r="P11" i="16" s="1"/>
  <c r="O11" i="16" a="1"/>
  <c r="O11" i="16" s="1"/>
  <c r="N11" i="16" a="1"/>
  <c r="N11" i="16" s="1"/>
  <c r="M11" i="16" a="1"/>
  <c r="M11" i="16" s="1"/>
  <c r="L11" i="16" a="1"/>
  <c r="L11" i="16" s="1"/>
  <c r="K11" i="16" a="1"/>
  <c r="K11" i="16" s="1"/>
  <c r="J11" i="16" a="1"/>
  <c r="J11" i="16" s="1"/>
  <c r="I11" i="16" a="1"/>
  <c r="I11" i="16" s="1"/>
  <c r="H11" i="16" a="1"/>
  <c r="H11" i="16" s="1"/>
  <c r="G11" i="16" a="1"/>
  <c r="G11" i="16" s="1"/>
  <c r="AO53" i="35"/>
  <c r="AR53" i="35" s="1" a="1"/>
  <c r="AR53" i="35" s="1"/>
  <c r="AP53" i="35" a="1"/>
  <c r="AP53" i="35" s="1"/>
  <c r="AQ53" i="35" s="1" a="1"/>
  <c r="AQ53" i="35" s="1"/>
  <c r="AO54" i="35"/>
  <c r="AU54" i="35" s="1" a="1"/>
  <c r="AU54" i="35" s="1"/>
  <c r="AP54" i="35" a="1"/>
  <c r="AP54" i="35" s="1"/>
  <c r="AQ54" i="35" s="1" a="1"/>
  <c r="AQ54" i="35" s="1"/>
  <c r="M17" i="4" l="1"/>
  <c r="O17" i="4" s="1"/>
  <c r="AT54" i="35" a="1"/>
  <c r="AT54" i="35" s="1"/>
  <c r="AU53" i="35" a="1"/>
  <c r="AU53" i="35" s="1"/>
  <c r="AS54" i="35" a="1"/>
  <c r="AS54" i="35" s="1"/>
  <c r="AV54" i="35" s="1"/>
  <c r="AT53" i="35" a="1"/>
  <c r="AT53" i="35" s="1"/>
  <c r="AR54" i="35" a="1"/>
  <c r="AR54" i="35" s="1"/>
  <c r="AS53" i="35" a="1"/>
  <c r="AS53" i="35" s="1"/>
  <c r="P17" i="4" l="1"/>
  <c r="AV53" i="35"/>
  <c r="T46" i="4" l="1"/>
  <c r="W46" i="4"/>
  <c r="C46" i="4"/>
  <c r="D46" i="4"/>
  <c r="N46" i="4" s="1"/>
  <c r="F46" i="4"/>
  <c r="G113" i="7"/>
  <c r="M45" i="7"/>
  <c r="N45" i="7"/>
  <c r="AD70" i="4"/>
  <c r="AD60" i="4"/>
  <c r="AD49" i="4"/>
  <c r="AD47" i="4"/>
  <c r="AD45" i="4"/>
  <c r="AD42" i="4"/>
  <c r="AD18" i="4"/>
  <c r="AD12" i="4"/>
  <c r="AD11" i="4"/>
  <c r="C82" i="4"/>
  <c r="C81" i="4"/>
  <c r="C78" i="4"/>
  <c r="C77" i="4"/>
  <c r="C76" i="4"/>
  <c r="C75" i="4"/>
  <c r="C74" i="4"/>
  <c r="C73" i="4"/>
  <c r="C72" i="4"/>
  <c r="C71" i="4"/>
  <c r="C70" i="4"/>
  <c r="C69" i="4"/>
  <c r="C68" i="4"/>
  <c r="C67" i="4"/>
  <c r="C66" i="4"/>
  <c r="C64" i="4"/>
  <c r="C63" i="4"/>
  <c r="C62" i="4"/>
  <c r="C61" i="4"/>
  <c r="C60" i="4"/>
  <c r="C58" i="4"/>
  <c r="C57" i="4"/>
  <c r="C54" i="4"/>
  <c r="C51" i="4"/>
  <c r="C49" i="4"/>
  <c r="C48" i="4"/>
  <c r="C47" i="4"/>
  <c r="C45" i="4"/>
  <c r="C44" i="4"/>
  <c r="C43" i="4"/>
  <c r="C42" i="4"/>
  <c r="C41" i="4"/>
  <c r="C27" i="4"/>
  <c r="C40" i="4"/>
  <c r="C39" i="4"/>
  <c r="C38" i="4"/>
  <c r="C37" i="4"/>
  <c r="C36" i="4"/>
  <c r="C35" i="4"/>
  <c r="C34" i="4"/>
  <c r="C33" i="4"/>
  <c r="C25" i="4"/>
  <c r="C24" i="4"/>
  <c r="C23" i="4"/>
  <c r="C20" i="4"/>
  <c r="C30" i="4"/>
  <c r="C19" i="4"/>
  <c r="C18" i="4"/>
  <c r="C12" i="4"/>
  <c r="C11" i="4"/>
  <c r="C9" i="4"/>
  <c r="C8" i="4"/>
  <c r="C7" i="4"/>
  <c r="C6" i="4"/>
  <c r="C5" i="4"/>
  <c r="E45" i="7" l="1"/>
  <c r="G144" i="7"/>
  <c r="G88" i="7"/>
  <c r="G89" i="7"/>
  <c r="G90" i="7"/>
  <c r="G91" i="7"/>
  <c r="G92" i="7"/>
  <c r="G93" i="7"/>
  <c r="G94" i="7"/>
  <c r="G95" i="7"/>
  <c r="G96" i="7"/>
  <c r="G97" i="7"/>
  <c r="G98" i="7"/>
  <c r="G99" i="7"/>
  <c r="G100" i="7"/>
  <c r="G101" i="7"/>
  <c r="G102" i="7"/>
  <c r="G103" i="7"/>
  <c r="G104" i="7"/>
  <c r="G105" i="7"/>
  <c r="G106" i="7"/>
  <c r="G107" i="7"/>
  <c r="G108" i="7"/>
  <c r="G109" i="7"/>
  <c r="G110" i="7"/>
  <c r="G111" i="7"/>
  <c r="G112" i="7"/>
  <c r="G114" i="7"/>
  <c r="G115" i="7"/>
  <c r="G116" i="7"/>
  <c r="G117" i="7"/>
  <c r="G118" i="7"/>
  <c r="G119" i="7"/>
  <c r="G120" i="7"/>
  <c r="G121" i="7"/>
  <c r="G122" i="7"/>
  <c r="G123" i="7"/>
  <c r="G124" i="7"/>
  <c r="G125" i="7"/>
  <c r="G126" i="7"/>
  <c r="G127" i="7"/>
  <c r="G128" i="7"/>
  <c r="G129" i="7"/>
  <c r="G130" i="7"/>
  <c r="G131" i="7"/>
  <c r="G132" i="7"/>
  <c r="G133" i="7"/>
  <c r="G134" i="7"/>
  <c r="G135" i="7"/>
  <c r="G136" i="7"/>
  <c r="G137" i="7"/>
  <c r="G138" i="7"/>
  <c r="G139" i="7"/>
  <c r="G140" i="7"/>
  <c r="G141" i="7"/>
  <c r="G142" i="7"/>
  <c r="G143" i="7"/>
  <c r="G145" i="7"/>
  <c r="G146" i="7"/>
  <c r="G147" i="7"/>
  <c r="G148" i="7"/>
  <c r="G87" i="7"/>
  <c r="G45" i="7" l="1"/>
  <c r="K46" i="4"/>
  <c r="R45" i="7"/>
  <c r="S45" i="7"/>
  <c r="E46" i="4"/>
  <c r="Y46" i="4" s="1"/>
  <c r="I46" i="4"/>
  <c r="T9" i="16"/>
  <c r="U9" i="16"/>
  <c r="T10" i="16"/>
  <c r="U10" i="16"/>
  <c r="T11" i="16"/>
  <c r="U11" i="16"/>
  <c r="T12" i="16"/>
  <c r="U12" i="16"/>
  <c r="U8" i="16"/>
  <c r="T8" i="16"/>
  <c r="E12" i="16"/>
  <c r="AF12" i="16"/>
  <c r="AG12" i="16"/>
  <c r="X12" i="16" s="1"/>
  <c r="D76" i="4"/>
  <c r="N76" i="4" s="1"/>
  <c r="F76" i="4"/>
  <c r="T76" i="4"/>
  <c r="W76" i="4"/>
  <c r="D47" i="4"/>
  <c r="N47" i="4" s="1"/>
  <c r="F47" i="4"/>
  <c r="T47" i="4"/>
  <c r="W47" i="4"/>
  <c r="D33" i="4"/>
  <c r="N33" i="4" s="1"/>
  <c r="F33" i="4"/>
  <c r="T33" i="4"/>
  <c r="W33" i="4"/>
  <c r="D9" i="4"/>
  <c r="N9" i="4" s="1"/>
  <c r="F9" i="4"/>
  <c r="T9" i="4"/>
  <c r="W9" i="4"/>
  <c r="D27" i="4"/>
  <c r="N27" i="4" s="1"/>
  <c r="F27" i="4"/>
  <c r="T27" i="4"/>
  <c r="W27" i="4"/>
  <c r="D64" i="4"/>
  <c r="N64" i="4" s="1"/>
  <c r="F64" i="4"/>
  <c r="T64" i="4"/>
  <c r="W64" i="4"/>
  <c r="M5" i="7"/>
  <c r="N5" i="7"/>
  <c r="M6" i="7"/>
  <c r="N6" i="7"/>
  <c r="M7" i="7"/>
  <c r="N7" i="7"/>
  <c r="M8" i="7"/>
  <c r="N8" i="7"/>
  <c r="M10" i="7"/>
  <c r="N10" i="7"/>
  <c r="M11" i="7"/>
  <c r="N11" i="7"/>
  <c r="M17" i="7"/>
  <c r="N17" i="7"/>
  <c r="M18" i="7"/>
  <c r="N18" i="7"/>
  <c r="M25" i="7"/>
  <c r="N25" i="7"/>
  <c r="M19" i="7"/>
  <c r="N19" i="7"/>
  <c r="M22" i="7"/>
  <c r="N22" i="7"/>
  <c r="M23" i="7"/>
  <c r="N23" i="7"/>
  <c r="M24" i="7"/>
  <c r="N24" i="7"/>
  <c r="M31" i="7"/>
  <c r="N31" i="7"/>
  <c r="M32" i="7"/>
  <c r="N32" i="7"/>
  <c r="M33" i="7"/>
  <c r="N33" i="7"/>
  <c r="M34" i="7"/>
  <c r="N34" i="7"/>
  <c r="M35" i="7"/>
  <c r="N35" i="7"/>
  <c r="M36" i="7"/>
  <c r="N36" i="7"/>
  <c r="M37" i="7"/>
  <c r="N37" i="7"/>
  <c r="M38" i="7"/>
  <c r="N38" i="7"/>
  <c r="M39" i="7"/>
  <c r="N39" i="7"/>
  <c r="M40" i="7"/>
  <c r="N40" i="7"/>
  <c r="M41" i="7"/>
  <c r="N41" i="7"/>
  <c r="M42" i="7"/>
  <c r="N42" i="7"/>
  <c r="M43" i="7"/>
  <c r="N43" i="7"/>
  <c r="M44" i="7"/>
  <c r="N44" i="7"/>
  <c r="M46" i="7"/>
  <c r="N46" i="7"/>
  <c r="M47" i="7"/>
  <c r="N47" i="7"/>
  <c r="M48" i="7"/>
  <c r="N48" i="7"/>
  <c r="M50" i="7"/>
  <c r="N50" i="7"/>
  <c r="M53" i="7"/>
  <c r="N53" i="7"/>
  <c r="M56" i="7"/>
  <c r="N56" i="7"/>
  <c r="M57" i="7"/>
  <c r="N57" i="7"/>
  <c r="M59" i="7"/>
  <c r="N59" i="7"/>
  <c r="M60" i="7"/>
  <c r="N60" i="7"/>
  <c r="M61" i="7"/>
  <c r="N61" i="7"/>
  <c r="M62" i="7"/>
  <c r="N62" i="7"/>
  <c r="M63" i="7"/>
  <c r="N63" i="7"/>
  <c r="M66" i="7"/>
  <c r="N66" i="7"/>
  <c r="M67" i="7"/>
  <c r="N67" i="7"/>
  <c r="M68" i="7"/>
  <c r="N68" i="7"/>
  <c r="M65" i="7"/>
  <c r="N65" i="7"/>
  <c r="M69" i="7"/>
  <c r="N69" i="7"/>
  <c r="M70" i="7"/>
  <c r="N70" i="7"/>
  <c r="M71" i="7"/>
  <c r="N71" i="7"/>
  <c r="M72" i="7"/>
  <c r="N72" i="7"/>
  <c r="M73" i="7"/>
  <c r="N73" i="7"/>
  <c r="M74" i="7"/>
  <c r="N74" i="7"/>
  <c r="M75" i="7"/>
  <c r="N75" i="7"/>
  <c r="M76" i="7"/>
  <c r="N76" i="7"/>
  <c r="M77" i="7"/>
  <c r="N77" i="7"/>
  <c r="M80" i="7"/>
  <c r="N80" i="7"/>
  <c r="M81" i="7"/>
  <c r="N81" i="7"/>
  <c r="N4" i="7"/>
  <c r="M4" i="7"/>
  <c r="AO7" i="35"/>
  <c r="AR7" i="35" s="1" a="1"/>
  <c r="AR7" i="35" s="1"/>
  <c r="AP7" i="35" a="1"/>
  <c r="AP7" i="35" s="1"/>
  <c r="AQ7" i="35" s="1" a="1"/>
  <c r="AQ7" i="35" s="1"/>
  <c r="AO8" i="35"/>
  <c r="AU8" i="35" s="1" a="1"/>
  <c r="AU8" i="35" s="1"/>
  <c r="AP8" i="35" a="1"/>
  <c r="AP8" i="35" s="1"/>
  <c r="AQ8" i="35" s="1" a="1"/>
  <c r="AQ8" i="35" s="1"/>
  <c r="AO9" i="35"/>
  <c r="AU9" i="35" s="1" a="1"/>
  <c r="AU9" i="35" s="1"/>
  <c r="AP9" i="35" a="1"/>
  <c r="AP9" i="35" s="1"/>
  <c r="AQ9" i="35" s="1" a="1"/>
  <c r="AQ9" i="35" s="1"/>
  <c r="AO10" i="35"/>
  <c r="AR10" i="35" s="1" a="1"/>
  <c r="AR10" i="35" s="1"/>
  <c r="AP10" i="35" a="1"/>
  <c r="AP10" i="35" s="1"/>
  <c r="AQ10" i="35" s="1" a="1"/>
  <c r="AQ10" i="35" s="1"/>
  <c r="AO11" i="35"/>
  <c r="AP11" i="35" a="1"/>
  <c r="AP11" i="35" s="1"/>
  <c r="AQ11" i="35" s="1" a="1"/>
  <c r="AQ11" i="35" s="1"/>
  <c r="AO12" i="35"/>
  <c r="AT12" i="35" s="1" a="1"/>
  <c r="AT12" i="35" s="1"/>
  <c r="AP12" i="35" a="1"/>
  <c r="AP12" i="35" s="1"/>
  <c r="AQ12" i="35" s="1" a="1"/>
  <c r="AQ12" i="35" s="1"/>
  <c r="AO13" i="35"/>
  <c r="AP13" i="35" a="1"/>
  <c r="AP13" i="35" s="1"/>
  <c r="AQ13" i="35" s="1" a="1"/>
  <c r="AQ13" i="35" s="1"/>
  <c r="AO14" i="35"/>
  <c r="AU14" i="35" s="1" a="1"/>
  <c r="AU14" i="35" s="1"/>
  <c r="AP14" i="35" a="1"/>
  <c r="AP14" i="35" s="1"/>
  <c r="AQ14" i="35" s="1" a="1"/>
  <c r="AQ14" i="35" s="1"/>
  <c r="AO15" i="35"/>
  <c r="AS15" i="35" s="1" a="1"/>
  <c r="AS15" i="35" s="1"/>
  <c r="AP15" i="35" a="1"/>
  <c r="AP15" i="35" s="1"/>
  <c r="AQ15" i="35" s="1" a="1"/>
  <c r="AQ15" i="35" s="1"/>
  <c r="AO16" i="35"/>
  <c r="AR16" i="35" s="1" a="1"/>
  <c r="AR16" i="35" s="1"/>
  <c r="AP16" i="35" a="1"/>
  <c r="AP16" i="35" s="1"/>
  <c r="AQ16" i="35" s="1" a="1"/>
  <c r="AQ16" i="35" s="1"/>
  <c r="AO17" i="35"/>
  <c r="AU17" i="35" s="1" a="1"/>
  <c r="AU17" i="35" s="1"/>
  <c r="AP17" i="35" a="1"/>
  <c r="AP17" i="35" s="1"/>
  <c r="AQ17" i="35" s="1" a="1"/>
  <c r="AQ17" i="35" s="1"/>
  <c r="AO18" i="35"/>
  <c r="AT18" i="35" s="1" a="1"/>
  <c r="AT18" i="35" s="1"/>
  <c r="AP18" i="35" a="1"/>
  <c r="AP18" i="35" s="1"/>
  <c r="AQ18" i="35" s="1" a="1"/>
  <c r="AQ18" i="35" s="1"/>
  <c r="AO19" i="35"/>
  <c r="AR19" i="35" s="1" a="1"/>
  <c r="AR19" i="35" s="1"/>
  <c r="AP19" i="35" a="1"/>
  <c r="AP19" i="35" s="1"/>
  <c r="AQ19" i="35" s="1" a="1"/>
  <c r="AQ19" i="35" s="1"/>
  <c r="AO20" i="35"/>
  <c r="AP20" i="35" a="1"/>
  <c r="AP20" i="35" s="1"/>
  <c r="AQ20" i="35" s="1" a="1"/>
  <c r="AQ20" i="35" s="1"/>
  <c r="AO21" i="35"/>
  <c r="AU21" i="35" s="1" a="1"/>
  <c r="AU21" i="35" s="1"/>
  <c r="AP21" i="35" a="1"/>
  <c r="AP21" i="35" s="1"/>
  <c r="AQ21" i="35" s="1" a="1"/>
  <c r="AQ21" i="35" s="1"/>
  <c r="AO22" i="35"/>
  <c r="AR22" i="35" s="1" a="1"/>
  <c r="AR22" i="35" s="1"/>
  <c r="AP22" i="35" a="1"/>
  <c r="AP22" i="35" s="1"/>
  <c r="AQ22" i="35" s="1" a="1"/>
  <c r="AQ22" i="35" s="1"/>
  <c r="AO23" i="35"/>
  <c r="AU23" i="35" s="1" a="1"/>
  <c r="AU23" i="35" s="1"/>
  <c r="AP23" i="35" a="1"/>
  <c r="AP23" i="35" s="1"/>
  <c r="AQ23" i="35" s="1" a="1"/>
  <c r="AQ23" i="35" s="1"/>
  <c r="AO24" i="35"/>
  <c r="AT24" i="35" s="1" a="1"/>
  <c r="AT24" i="35" s="1"/>
  <c r="AP24" i="35" a="1"/>
  <c r="AP24" i="35" s="1"/>
  <c r="AQ24" i="35" s="1" a="1"/>
  <c r="AQ24" i="35" s="1"/>
  <c r="AO25" i="35"/>
  <c r="AR25" i="35" s="1" a="1"/>
  <c r="AR25" i="35" s="1"/>
  <c r="AP25" i="35" a="1"/>
  <c r="AP25" i="35" s="1"/>
  <c r="AQ25" i="35" s="1" a="1"/>
  <c r="AQ25" i="35" s="1"/>
  <c r="AO26" i="35"/>
  <c r="AP26" i="35" a="1"/>
  <c r="AP26" i="35" s="1"/>
  <c r="AQ26" i="35" s="1" a="1"/>
  <c r="AQ26" i="35" s="1"/>
  <c r="AO27" i="35"/>
  <c r="AU27" i="35" s="1" a="1"/>
  <c r="AU27" i="35" s="1"/>
  <c r="AP27" i="35" a="1"/>
  <c r="AP27" i="35" s="1"/>
  <c r="AQ27" i="35" s="1" a="1"/>
  <c r="AQ27" i="35" s="1"/>
  <c r="AO28" i="35"/>
  <c r="AR28" i="35" s="1" a="1"/>
  <c r="AR28" i="35" s="1"/>
  <c r="AP28" i="35" a="1"/>
  <c r="AP28" i="35" s="1"/>
  <c r="AQ28" i="35" s="1" a="1"/>
  <c r="AQ28" i="35" s="1"/>
  <c r="AO29" i="35"/>
  <c r="AU29" i="35" s="1" a="1"/>
  <c r="AU29" i="35" s="1"/>
  <c r="AP29" i="35" a="1"/>
  <c r="AP29" i="35" s="1"/>
  <c r="AQ29" i="35" s="1" a="1"/>
  <c r="AQ29" i="35" s="1"/>
  <c r="AO30" i="35"/>
  <c r="AT30" i="35" s="1" a="1"/>
  <c r="AT30" i="35" s="1"/>
  <c r="AP30" i="35" a="1"/>
  <c r="AP30" i="35" s="1"/>
  <c r="AQ30" i="35" s="1" a="1"/>
  <c r="AQ30" i="35" s="1"/>
  <c r="AO31" i="35"/>
  <c r="AT31" i="35" s="1" a="1"/>
  <c r="AT31" i="35" s="1"/>
  <c r="AP31" i="35" a="1"/>
  <c r="AP31" i="35" s="1"/>
  <c r="AQ31" i="35" s="1" a="1"/>
  <c r="AQ31" i="35" s="1"/>
  <c r="AO32" i="35"/>
  <c r="AU32" i="35" s="1" a="1"/>
  <c r="AU32" i="35" s="1"/>
  <c r="AP32" i="35" a="1"/>
  <c r="AP32" i="35" s="1"/>
  <c r="AQ32" i="35" s="1" a="1"/>
  <c r="AQ32" i="35" s="1"/>
  <c r="AO33" i="35"/>
  <c r="AR33" i="35" s="1" a="1"/>
  <c r="AR33" i="35" s="1"/>
  <c r="AP33" i="35" a="1"/>
  <c r="AP33" i="35" s="1"/>
  <c r="AQ33" i="35" s="1" a="1"/>
  <c r="AQ33" i="35" s="1"/>
  <c r="AO34" i="35"/>
  <c r="AR34" i="35" s="1" a="1"/>
  <c r="AR34" i="35" s="1"/>
  <c r="AP34" i="35" a="1"/>
  <c r="AP34" i="35" s="1"/>
  <c r="AQ34" i="35" s="1" a="1"/>
  <c r="AQ34" i="35" s="1"/>
  <c r="AO35" i="35"/>
  <c r="AU35" i="35" s="1" a="1"/>
  <c r="AU35" i="35" s="1"/>
  <c r="AP35" i="35" a="1"/>
  <c r="AP35" i="35" s="1"/>
  <c r="AQ35" i="35" s="1" a="1"/>
  <c r="AQ35" i="35" s="1"/>
  <c r="AO36" i="35"/>
  <c r="AP36" i="35" a="1"/>
  <c r="AP36" i="35" s="1"/>
  <c r="AQ36" i="35" s="1" a="1"/>
  <c r="AQ36" i="35" s="1"/>
  <c r="AO37" i="35"/>
  <c r="AT37" i="35" s="1" a="1"/>
  <c r="AT37" i="35" s="1"/>
  <c r="AP37" i="35" a="1"/>
  <c r="AP37" i="35" s="1"/>
  <c r="AQ37" i="35" s="1" a="1"/>
  <c r="AQ37" i="35" s="1"/>
  <c r="AO38" i="35"/>
  <c r="AU38" i="35" s="1" a="1"/>
  <c r="AU38" i="35" s="1"/>
  <c r="AP38" i="35" a="1"/>
  <c r="AP38" i="35" s="1"/>
  <c r="AQ38" i="35" s="1" a="1"/>
  <c r="AQ38" i="35" s="1"/>
  <c r="AO39" i="35"/>
  <c r="AP39" i="35" a="1"/>
  <c r="AP39" i="35" s="1"/>
  <c r="AQ39" i="35" s="1" a="1"/>
  <c r="AQ39" i="35" s="1"/>
  <c r="AO40" i="35"/>
  <c r="AR40" i="35" s="1" a="1"/>
  <c r="AR40" i="35" s="1"/>
  <c r="AP40" i="35" a="1"/>
  <c r="AP40" i="35" s="1"/>
  <c r="AQ40" i="35" s="1" a="1"/>
  <c r="AQ40" i="35" s="1"/>
  <c r="AO41" i="35"/>
  <c r="AU41" i="35" s="1" a="1"/>
  <c r="AU41" i="35" s="1"/>
  <c r="AP41" i="35" a="1"/>
  <c r="AP41" i="35" s="1"/>
  <c r="AQ41" i="35" s="1" a="1"/>
  <c r="AQ41" i="35" s="1"/>
  <c r="AO42" i="35"/>
  <c r="AP42" i="35" a="1"/>
  <c r="AP42" i="35" s="1"/>
  <c r="AQ42" i="35" s="1" a="1"/>
  <c r="AQ42" i="35" s="1"/>
  <c r="AO43" i="35"/>
  <c r="AP43" i="35" a="1"/>
  <c r="AP43" i="35" s="1"/>
  <c r="AQ43" i="35" s="1" a="1"/>
  <c r="AQ43" i="35" s="1"/>
  <c r="AO44" i="35"/>
  <c r="AU44" i="35" s="1" a="1"/>
  <c r="AU44" i="35" s="1"/>
  <c r="AP44" i="35" a="1"/>
  <c r="AP44" i="35" s="1"/>
  <c r="AQ44" i="35" s="1" a="1"/>
  <c r="AQ44" i="35" s="1"/>
  <c r="AO45" i="35"/>
  <c r="AP45" i="35" a="1"/>
  <c r="AP45" i="35" s="1"/>
  <c r="AQ45" i="35" s="1" a="1"/>
  <c r="AQ45" i="35" s="1"/>
  <c r="AO46" i="35"/>
  <c r="AP46" i="35" a="1"/>
  <c r="AP46" i="35" s="1"/>
  <c r="AQ46" i="35" s="1" a="1"/>
  <c r="AQ46" i="35" s="1"/>
  <c r="AO47" i="35"/>
  <c r="AU47" i="35" s="1" a="1"/>
  <c r="AU47" i="35" s="1"/>
  <c r="AP47" i="35" a="1"/>
  <c r="AP47" i="35" s="1"/>
  <c r="AQ47" i="35" s="1" a="1"/>
  <c r="AQ47" i="35" s="1"/>
  <c r="AO48" i="35"/>
  <c r="AT48" i="35" s="1" a="1"/>
  <c r="AT48" i="35" s="1"/>
  <c r="AP48" i="35" a="1"/>
  <c r="AP48" i="35" s="1"/>
  <c r="AQ48" i="35" s="1" a="1"/>
  <c r="AQ48" i="35" s="1"/>
  <c r="AO49" i="35"/>
  <c r="AU49" i="35" s="1" a="1"/>
  <c r="AU49" i="35" s="1"/>
  <c r="AP49" i="35" a="1"/>
  <c r="AP49" i="35" s="1"/>
  <c r="AQ49" i="35" s="1" a="1"/>
  <c r="AQ49" i="35" s="1"/>
  <c r="AO50" i="35"/>
  <c r="AU50" i="35" s="1" a="1"/>
  <c r="AU50" i="35" s="1"/>
  <c r="AP50" i="35" a="1"/>
  <c r="AP50" i="35" s="1"/>
  <c r="AQ50" i="35" s="1" a="1"/>
  <c r="AQ50" i="35" s="1"/>
  <c r="AO51" i="35"/>
  <c r="AU51" i="35" s="1" a="1"/>
  <c r="AU51" i="35" s="1"/>
  <c r="AP51" i="35" a="1"/>
  <c r="AP51" i="35" s="1"/>
  <c r="AQ51" i="35" s="1" a="1"/>
  <c r="AQ51" i="35" s="1"/>
  <c r="AO52" i="35"/>
  <c r="AR52" i="35" s="1" a="1"/>
  <c r="AR52" i="35" s="1"/>
  <c r="AP52" i="35" a="1"/>
  <c r="AP52" i="35" s="1"/>
  <c r="AQ52" i="35" s="1" a="1"/>
  <c r="AQ52" i="35" s="1"/>
  <c r="AO6" i="35"/>
  <c r="AU6" i="35" s="1" a="1"/>
  <c r="AU6" i="35" s="1"/>
  <c r="AP6" i="35" a="1"/>
  <c r="AP6" i="35" s="1"/>
  <c r="AQ6" i="35" s="1" a="1"/>
  <c r="AQ6" i="35" s="1"/>
  <c r="M46" i="4" l="1"/>
  <c r="AS21" i="35" a="1"/>
  <c r="AS21" i="35" s="1"/>
  <c r="AV21" i="35" s="1"/>
  <c r="AT21" i="35" a="1"/>
  <c r="AT21" i="35" s="1"/>
  <c r="AR44" i="35" a="1"/>
  <c r="AR44" i="35" s="1"/>
  <c r="AU19" i="35" a="1"/>
  <c r="AU19" i="35" s="1"/>
  <c r="AR15" i="35" a="1"/>
  <c r="AR15" i="35" s="1"/>
  <c r="AR31" i="35" a="1"/>
  <c r="AR31" i="35" s="1"/>
  <c r="AR50" i="35" a="1"/>
  <c r="AR50" i="35" s="1"/>
  <c r="AS31" i="35" a="1"/>
  <c r="AS31" i="35" s="1"/>
  <c r="AT8" i="35" a="1"/>
  <c r="AT8" i="35" s="1"/>
  <c r="AT19" i="35" a="1"/>
  <c r="AT19" i="35" s="1"/>
  <c r="AU15" i="35" a="1"/>
  <c r="AU15" i="35" s="1"/>
  <c r="AV15" i="35" s="1"/>
  <c r="AR8" i="35" a="1"/>
  <c r="AR8" i="35" s="1"/>
  <c r="AS8" i="35" s="1" a="1"/>
  <c r="AS8" i="35" s="1"/>
  <c r="AV8" i="35" s="1"/>
  <c r="AS37" i="35" a="1"/>
  <c r="AS37" i="35" s="1"/>
  <c r="AT15" i="35" a="1"/>
  <c r="AT15" i="35" s="1"/>
  <c r="AT50" i="35" a="1"/>
  <c r="AT50" i="35" s="1"/>
  <c r="AR37" i="35" a="1"/>
  <c r="AR37" i="35" s="1"/>
  <c r="AU25" i="35" a="1"/>
  <c r="AU25" i="35" s="1"/>
  <c r="AT49" i="35" a="1"/>
  <c r="AT49" i="35" s="1"/>
  <c r="AR21" i="35" a="1"/>
  <c r="AR21" i="35" s="1"/>
  <c r="AS19" i="35" a="1"/>
  <c r="AS19" i="35" s="1"/>
  <c r="AT32" i="35" a="1"/>
  <c r="AT32" i="35" s="1"/>
  <c r="AT27" i="35" a="1"/>
  <c r="AT27" i="35" s="1"/>
  <c r="AT25" i="35" a="1"/>
  <c r="AT25" i="35" s="1"/>
  <c r="AR38" i="35" a="1"/>
  <c r="AR38" i="35" s="1"/>
  <c r="AS27" i="35" a="1"/>
  <c r="AS27" i="35" s="1"/>
  <c r="AV27" i="35" s="1"/>
  <c r="AT38" i="35" a="1"/>
  <c r="AT38" i="35" s="1"/>
  <c r="AR49" i="35" a="1"/>
  <c r="AR49" i="35" s="1"/>
  <c r="AS49" i="35" s="1" a="1"/>
  <c r="AS49" i="35" s="1"/>
  <c r="AV49" i="35" s="1"/>
  <c r="AR32" i="35" a="1"/>
  <c r="AR32" i="35" s="1"/>
  <c r="AS25" i="35" a="1"/>
  <c r="AS25" i="35" s="1"/>
  <c r="AT44" i="35" a="1"/>
  <c r="AT44" i="35" s="1"/>
  <c r="AR27" i="35" a="1"/>
  <c r="AR27" i="35" s="1"/>
  <c r="AR14" i="35" a="1"/>
  <c r="AR14" i="35" s="1"/>
  <c r="AU20" i="35" a="1"/>
  <c r="AU20" i="35" s="1"/>
  <c r="AR20" i="35" a="1"/>
  <c r="AR20" i="35" s="1"/>
  <c r="AT20" i="35" a="1"/>
  <c r="AT20" i="35" s="1"/>
  <c r="AT43" i="35" a="1"/>
  <c r="AT43" i="35" s="1"/>
  <c r="AU43" i="35" a="1"/>
  <c r="AU43" i="35" s="1"/>
  <c r="AR39" i="35" a="1"/>
  <c r="AR39" i="35" s="1"/>
  <c r="AS39" i="35" a="1"/>
  <c r="AS39" i="35" s="1"/>
  <c r="AT39" i="35" a="1"/>
  <c r="AT39" i="35" s="1"/>
  <c r="AU39" i="35" a="1"/>
  <c r="AU39" i="35" s="1"/>
  <c r="AR45" i="35" a="1"/>
  <c r="AR45" i="35" s="1"/>
  <c r="AS45" i="35" a="1"/>
  <c r="AS45" i="35" s="1"/>
  <c r="AT45" i="35" a="1"/>
  <c r="AT45" i="35" s="1"/>
  <c r="AU45" i="35" a="1"/>
  <c r="AU45" i="35" s="1"/>
  <c r="AS33" i="35" a="1"/>
  <c r="AS33" i="35" s="1"/>
  <c r="AT33" i="35" a="1"/>
  <c r="AT33" i="35" s="1"/>
  <c r="AU33" i="35" a="1"/>
  <c r="AU33" i="35" s="1"/>
  <c r="AU26" i="35" a="1"/>
  <c r="AU26" i="35" s="1"/>
  <c r="AR26" i="35" a="1"/>
  <c r="AR26" i="35" s="1"/>
  <c r="AS26" i="35" s="1" a="1"/>
  <c r="AS26" i="35" s="1"/>
  <c r="AT26" i="35" a="1"/>
  <c r="AT26" i="35" s="1"/>
  <c r="AS7" i="35" a="1"/>
  <c r="AS7" i="35" s="1"/>
  <c r="AT7" i="35" a="1"/>
  <c r="AT7" i="35" s="1"/>
  <c r="AU7" i="35" a="1"/>
  <c r="AU7" i="35" s="1"/>
  <c r="AR51" i="35" a="1"/>
  <c r="AR51" i="35" s="1"/>
  <c r="AS51" i="35" s="1" a="1"/>
  <c r="AS51" i="35" s="1"/>
  <c r="AV51" i="35" s="1"/>
  <c r="AT51" i="35" a="1"/>
  <c r="AT51" i="35" s="1"/>
  <c r="AR13" i="35" a="1"/>
  <c r="AR13" i="35" s="1"/>
  <c r="AS13" i="35" s="1" a="1"/>
  <c r="AS13" i="35" s="1"/>
  <c r="AT13" i="35" a="1"/>
  <c r="AT13" i="35" s="1"/>
  <c r="AU13" i="35" a="1"/>
  <c r="AU13" i="35" s="1"/>
  <c r="AR9" i="35" a="1"/>
  <c r="AR9" i="35" s="1"/>
  <c r="AS9" i="35" a="1"/>
  <c r="AS9" i="35" s="1"/>
  <c r="AV9" i="35" s="1"/>
  <c r="AT9" i="35" a="1"/>
  <c r="AT9" i="35" s="1"/>
  <c r="AT14" i="35" a="1"/>
  <c r="AT14" i="35" s="1"/>
  <c r="AR43" i="35" a="1"/>
  <c r="AR43" i="35" s="1"/>
  <c r="AS43" i="35" s="1" a="1"/>
  <c r="AS43" i="35" s="1"/>
  <c r="V12" i="16"/>
  <c r="AU37" i="35" a="1"/>
  <c r="AU37" i="35" s="1"/>
  <c r="AU31" i="35" a="1"/>
  <c r="AU31" i="35" s="1"/>
  <c r="R12" i="16"/>
  <c r="F12" i="16"/>
  <c r="AE47" i="4"/>
  <c r="AF47" i="4"/>
  <c r="AR42" i="35" a="1"/>
  <c r="AR42" i="35" s="1"/>
  <c r="AS42" i="35" a="1"/>
  <c r="AS42" i="35" s="1"/>
  <c r="AU42" i="35" a="1"/>
  <c r="AU42" i="35" s="1"/>
  <c r="AR11" i="35" a="1"/>
  <c r="AR11" i="35" s="1"/>
  <c r="AS11" i="35" a="1"/>
  <c r="AS11" i="35" s="1"/>
  <c r="AT11" i="35" a="1"/>
  <c r="AT11" i="35" s="1"/>
  <c r="AR36" i="35" a="1"/>
  <c r="AR36" i="35" s="1"/>
  <c r="AS36" i="35" s="1" a="1"/>
  <c r="AS36" i="35" s="1"/>
  <c r="AU36" i="35" a="1"/>
  <c r="AU36" i="35" s="1"/>
  <c r="AS46" i="35" a="1"/>
  <c r="AS46" i="35" s="1"/>
  <c r="AT46" i="35" a="1"/>
  <c r="AT46" i="35" s="1"/>
  <c r="AU46" i="35" a="1"/>
  <c r="AU46" i="35" s="1"/>
  <c r="AT52" i="35" a="1"/>
  <c r="AT52" i="35" s="1"/>
  <c r="AS28" i="35" a="1"/>
  <c r="AS28" i="35" s="1"/>
  <c r="AT28" i="35" a="1"/>
  <c r="AT28" i="35" s="1"/>
  <c r="AU28" i="35" a="1"/>
  <c r="AU28" i="35" s="1"/>
  <c r="AS22" i="35" a="1"/>
  <c r="AS22" i="35" s="1"/>
  <c r="AT22" i="35" a="1"/>
  <c r="AT22" i="35" s="1"/>
  <c r="AU22" i="35" a="1"/>
  <c r="AU22" i="35" s="1"/>
  <c r="AR12" i="35" a="1"/>
  <c r="AR12" i="35" s="1"/>
  <c r="AS12" i="35" a="1"/>
  <c r="AS12" i="35" s="1"/>
  <c r="AU12" i="35" a="1"/>
  <c r="AU12" i="35" s="1"/>
  <c r="AR47" i="35" a="1"/>
  <c r="AR47" i="35" s="1"/>
  <c r="AS47" i="35" a="1"/>
  <c r="AS47" i="35" s="1"/>
  <c r="AV47" i="35" s="1"/>
  <c r="AT47" i="35" a="1"/>
  <c r="AT47" i="35" s="1"/>
  <c r="AS16" i="35" a="1"/>
  <c r="AS16" i="35" s="1"/>
  <c r="AT16" i="35" a="1"/>
  <c r="AT16" i="35" s="1"/>
  <c r="AU16" i="35" a="1"/>
  <c r="AU16" i="35" s="1"/>
  <c r="AR41" i="35" a="1"/>
  <c r="AR41" i="35" s="1"/>
  <c r="AS41" i="35" a="1"/>
  <c r="AS41" i="35" s="1"/>
  <c r="AV41" i="35" s="1"/>
  <c r="AT41" i="35" a="1"/>
  <c r="AT41" i="35" s="1"/>
  <c r="AU11" i="35" a="1"/>
  <c r="AU11" i="35" s="1"/>
  <c r="AS10" i="35" a="1"/>
  <c r="AS10" i="35" s="1"/>
  <c r="AT10" i="35" a="1"/>
  <c r="AT10" i="35" s="1"/>
  <c r="AU10" i="35" a="1"/>
  <c r="AU10" i="35" s="1"/>
  <c r="AS34" i="35" a="1"/>
  <c r="AS34" i="35" s="1"/>
  <c r="AT34" i="35" a="1"/>
  <c r="AT34" i="35" s="1"/>
  <c r="AU34" i="35" a="1"/>
  <c r="AU34" i="35" s="1"/>
  <c r="AR24" i="35" a="1"/>
  <c r="AR24" i="35" s="1"/>
  <c r="AS24" i="35" s="1" a="1"/>
  <c r="AS24" i="35" s="1"/>
  <c r="AU24" i="35" a="1"/>
  <c r="AU24" i="35" s="1"/>
  <c r="AR18" i="35" a="1"/>
  <c r="AR18" i="35" s="1"/>
  <c r="AS18" i="35" a="1"/>
  <c r="AS18" i="35" s="1"/>
  <c r="AU18" i="35" a="1"/>
  <c r="AU18" i="35" s="1"/>
  <c r="AR35" i="35" a="1"/>
  <c r="AR35" i="35" s="1"/>
  <c r="AS35" i="35" a="1"/>
  <c r="AS35" i="35" s="1"/>
  <c r="AV35" i="35" s="1"/>
  <c r="AT35" i="35" a="1"/>
  <c r="AT35" i="35" s="1"/>
  <c r="AS40" i="35" a="1"/>
  <c r="AS40" i="35" s="1"/>
  <c r="AT40" i="35" a="1"/>
  <c r="AT40" i="35" s="1"/>
  <c r="AU40" i="35" a="1"/>
  <c r="AU40" i="35" s="1"/>
  <c r="AR30" i="35" a="1"/>
  <c r="AR30" i="35" s="1"/>
  <c r="AS30" i="35" a="1"/>
  <c r="AS30" i="35" s="1"/>
  <c r="AU30" i="35" a="1"/>
  <c r="AU30" i="35" s="1"/>
  <c r="AR46" i="35" a="1"/>
  <c r="AR46" i="35" s="1"/>
  <c r="AT42" i="35" a="1"/>
  <c r="AT42" i="35" s="1"/>
  <c r="AR29" i="35" a="1"/>
  <c r="AR29" i="35" s="1"/>
  <c r="AS29" i="35" a="1"/>
  <c r="AS29" i="35" s="1"/>
  <c r="AV29" i="35" s="1"/>
  <c r="AT29" i="35" a="1"/>
  <c r="AT29" i="35" s="1"/>
  <c r="AS52" i="35" a="1"/>
  <c r="AS52" i="35" s="1"/>
  <c r="AU52" i="35" a="1"/>
  <c r="AU52" i="35" s="1"/>
  <c r="AT36" i="35" a="1"/>
  <c r="AT36" i="35" s="1"/>
  <c r="AR23" i="35" a="1"/>
  <c r="AR23" i="35" s="1"/>
  <c r="AS23" i="35" s="1" a="1"/>
  <c r="AS23" i="35" s="1"/>
  <c r="AV23" i="35" s="1"/>
  <c r="AT23" i="35" a="1"/>
  <c r="AT23" i="35" s="1"/>
  <c r="AR48" i="35" a="1"/>
  <c r="AR48" i="35" s="1"/>
  <c r="AS48" i="35" a="1"/>
  <c r="AS48" i="35" s="1"/>
  <c r="AU48" i="35" a="1"/>
  <c r="AU48" i="35" s="1"/>
  <c r="AR17" i="35" a="1"/>
  <c r="AR17" i="35" s="1"/>
  <c r="AS17" i="35" a="1"/>
  <c r="AS17" i="35" s="1"/>
  <c r="AV17" i="35" s="1"/>
  <c r="AT17" i="35" a="1"/>
  <c r="AT17" i="35" s="1"/>
  <c r="AS50" i="35" a="1"/>
  <c r="AS50" i="35" s="1"/>
  <c r="AV50" i="35" s="1"/>
  <c r="AS44" i="35" a="1"/>
  <c r="AS44" i="35" s="1"/>
  <c r="AV44" i="35" s="1"/>
  <c r="AS38" i="35" a="1"/>
  <c r="AS38" i="35" s="1"/>
  <c r="AV38" i="35" s="1"/>
  <c r="AS32" i="35" a="1"/>
  <c r="AS32" i="35" s="1"/>
  <c r="AV32" i="35" s="1"/>
  <c r="AS20" i="35" a="1"/>
  <c r="AS20" i="35" s="1"/>
  <c r="AS14" i="35" a="1"/>
  <c r="AS14" i="35" s="1"/>
  <c r="AV14" i="35" s="1"/>
  <c r="AT6" i="35" a="1"/>
  <c r="AT6" i="35" s="1"/>
  <c r="AR6" i="35" a="1"/>
  <c r="AR6" i="35" s="1"/>
  <c r="AS6" i="35" a="1"/>
  <c r="AS6" i="35" s="1"/>
  <c r="AV6" i="35" s="1"/>
  <c r="AV19" i="35" l="1"/>
  <c r="AV25" i="35"/>
  <c r="AV45" i="35"/>
  <c r="AV7" i="35"/>
  <c r="AV20" i="35"/>
  <c r="AV31" i="35"/>
  <c r="AV33" i="35"/>
  <c r="AV13" i="35"/>
  <c r="AV11" i="35"/>
  <c r="AV37" i="35"/>
  <c r="AV26" i="35"/>
  <c r="AV40" i="35"/>
  <c r="AV52" i="35"/>
  <c r="AV43" i="35"/>
  <c r="AV46" i="35"/>
  <c r="AV24" i="35"/>
  <c r="AV34" i="35"/>
  <c r="AV39" i="35"/>
  <c r="AV48" i="35"/>
  <c r="AV18" i="35"/>
  <c r="Y12" i="16"/>
  <c r="Z12" i="16" s="1"/>
  <c r="AV30" i="35"/>
  <c r="AV42" i="35"/>
  <c r="AV36" i="35"/>
  <c r="AV16" i="35"/>
  <c r="AV22" i="35"/>
  <c r="AV28" i="35"/>
  <c r="AV12" i="35"/>
  <c r="AV10" i="35"/>
  <c r="AV61" i="35" l="1"/>
  <c r="E75" i="7"/>
  <c r="K76" i="4" s="1"/>
  <c r="E63" i="7"/>
  <c r="K64" i="4" s="1"/>
  <c r="E46" i="7"/>
  <c r="K47" i="4" s="1"/>
  <c r="E39" i="7"/>
  <c r="K27" i="4" s="1"/>
  <c r="E31" i="7"/>
  <c r="K33" i="4" s="1"/>
  <c r="E8" i="7"/>
  <c r="K9" i="4" s="1"/>
  <c r="G75" i="7" l="1"/>
  <c r="E76" i="4"/>
  <c r="Y76" i="4" s="1"/>
  <c r="I76" i="4"/>
  <c r="G8" i="7"/>
  <c r="E9" i="4"/>
  <c r="Y9" i="4" s="1"/>
  <c r="I9" i="4"/>
  <c r="R31" i="7"/>
  <c r="I33" i="4"/>
  <c r="E33" i="4"/>
  <c r="Y33" i="4" s="1"/>
  <c r="G46" i="7"/>
  <c r="E47" i="4"/>
  <c r="Y47" i="4" s="1"/>
  <c r="I47" i="4"/>
  <c r="AI47" i="4"/>
  <c r="G63" i="7"/>
  <c r="I64" i="4"/>
  <c r="E64" i="4"/>
  <c r="Y64" i="4" s="1"/>
  <c r="G39" i="7"/>
  <c r="E27" i="4"/>
  <c r="Y27" i="4" s="1"/>
  <c r="I27" i="4"/>
  <c r="R75" i="7"/>
  <c r="S75" i="7"/>
  <c r="S46" i="7"/>
  <c r="G31" i="7"/>
  <c r="S31" i="7"/>
  <c r="R63" i="7"/>
  <c r="S63" i="7"/>
  <c r="R39" i="7"/>
  <c r="R46" i="7"/>
  <c r="S39" i="7"/>
  <c r="R8" i="7"/>
  <c r="S8" i="7"/>
  <c r="M47" i="4" l="1"/>
  <c r="M76" i="4"/>
  <c r="M33" i="4"/>
  <c r="M9" i="4"/>
  <c r="M27" i="4"/>
  <c r="M64" i="4"/>
  <c r="Q98" i="4"/>
  <c r="R97" i="4" s="1"/>
  <c r="Q94" i="4"/>
  <c r="R93" i="4" s="1"/>
  <c r="AG47" i="4" l="1"/>
  <c r="L76" i="4" a="1"/>
  <c r="L76" i="4" s="1"/>
  <c r="L9" i="4" a="1"/>
  <c r="L9" i="4" s="1"/>
  <c r="L47" i="4" a="1"/>
  <c r="L47" i="4" s="1"/>
  <c r="L64" i="4" a="1"/>
  <c r="L64" i="4" s="1"/>
  <c r="L46" i="4" a="1"/>
  <c r="L46" i="4" s="1"/>
  <c r="L27" i="4" a="1"/>
  <c r="L27" i="4" s="1"/>
  <c r="L33" i="4" a="1"/>
  <c r="L33" i="4" s="1"/>
  <c r="R96" i="4"/>
  <c r="R92" i="4"/>
  <c r="O27" i="4" l="1"/>
  <c r="P27" i="4" s="1"/>
  <c r="O64" i="4"/>
  <c r="P64" i="4" s="1"/>
  <c r="O76" i="4"/>
  <c r="P76" i="4" s="1"/>
  <c r="O9" i="4"/>
  <c r="P9" i="4" s="1"/>
  <c r="O47" i="4"/>
  <c r="P47" i="4" s="1"/>
  <c r="O46" i="4"/>
  <c r="P46" i="4" s="1"/>
  <c r="O33" i="4"/>
  <c r="P33" i="4" s="1"/>
  <c r="W6" i="4" l="1"/>
  <c r="W7" i="4"/>
  <c r="W8" i="4"/>
  <c r="W11" i="4"/>
  <c r="W12" i="4"/>
  <c r="W18" i="4"/>
  <c r="W19" i="4"/>
  <c r="W30" i="4"/>
  <c r="W20" i="4"/>
  <c r="W23" i="4"/>
  <c r="W24" i="4"/>
  <c r="W25" i="4"/>
  <c r="W34" i="4"/>
  <c r="W35" i="4"/>
  <c r="W36" i="4"/>
  <c r="W37" i="4"/>
  <c r="W38" i="4"/>
  <c r="W39" i="4"/>
  <c r="W40" i="4"/>
  <c r="W41" i="4"/>
  <c r="W42" i="4"/>
  <c r="W43" i="4"/>
  <c r="W44" i="4"/>
  <c r="W45" i="4"/>
  <c r="W48" i="4"/>
  <c r="W49" i="4"/>
  <c r="W51" i="4"/>
  <c r="W54" i="4"/>
  <c r="W57" i="4"/>
  <c r="W58" i="4"/>
  <c r="W60" i="4"/>
  <c r="W61" i="4"/>
  <c r="W62" i="4"/>
  <c r="W63" i="4"/>
  <c r="W66" i="4"/>
  <c r="W67" i="4"/>
  <c r="W68" i="4"/>
  <c r="W69" i="4"/>
  <c r="W70" i="4"/>
  <c r="W71" i="4"/>
  <c r="W72" i="4"/>
  <c r="W73" i="4"/>
  <c r="W74" i="4"/>
  <c r="W75" i="4"/>
  <c r="W77" i="4"/>
  <c r="W78" i="4"/>
  <c r="W81" i="4"/>
  <c r="W82" i="4"/>
  <c r="W5" i="4"/>
  <c r="T6" i="4"/>
  <c r="T7" i="4"/>
  <c r="T8" i="4"/>
  <c r="T11" i="4"/>
  <c r="T12" i="4"/>
  <c r="T18" i="4"/>
  <c r="T19" i="4"/>
  <c r="T30" i="4"/>
  <c r="T20" i="4"/>
  <c r="T23" i="4"/>
  <c r="T24" i="4"/>
  <c r="T25" i="4"/>
  <c r="T34" i="4"/>
  <c r="T35" i="4"/>
  <c r="T36" i="4"/>
  <c r="T37" i="4"/>
  <c r="T38" i="4"/>
  <c r="T39" i="4"/>
  <c r="T40" i="4"/>
  <c r="T41" i="4"/>
  <c r="T42" i="4"/>
  <c r="T43" i="4"/>
  <c r="T44" i="4"/>
  <c r="T45" i="4"/>
  <c r="T48" i="4"/>
  <c r="T49" i="4"/>
  <c r="T51" i="4"/>
  <c r="T54" i="4"/>
  <c r="T57" i="4"/>
  <c r="T58" i="4"/>
  <c r="T60" i="4"/>
  <c r="T61" i="4"/>
  <c r="T62" i="4"/>
  <c r="T63" i="4"/>
  <c r="T66" i="4"/>
  <c r="T67" i="4"/>
  <c r="T68" i="4"/>
  <c r="T69" i="4"/>
  <c r="T70" i="4"/>
  <c r="T71" i="4"/>
  <c r="T72" i="4"/>
  <c r="T73" i="4"/>
  <c r="T74" i="4"/>
  <c r="T75" i="4"/>
  <c r="T77" i="4"/>
  <c r="T78" i="4"/>
  <c r="T81" i="4"/>
  <c r="T82" i="4"/>
  <c r="T5" i="4"/>
  <c r="D61" i="4"/>
  <c r="N61" i="4" s="1"/>
  <c r="F81" i="4"/>
  <c r="D81" i="4"/>
  <c r="N81" i="4" s="1"/>
  <c r="T83" i="4" l="1"/>
  <c r="W83" i="4"/>
  <c r="E60" i="7"/>
  <c r="E80" i="7"/>
  <c r="K81" i="4" s="1"/>
  <c r="L61" i="4" a="1"/>
  <c r="L61" i="4" s="1"/>
  <c r="E61" i="4" l="1"/>
  <c r="Y61" i="4" s="1"/>
  <c r="K61" i="4"/>
  <c r="R60" i="7"/>
  <c r="G60" i="7"/>
  <c r="S60" i="7"/>
  <c r="I61" i="4"/>
  <c r="S80" i="7"/>
  <c r="R80" i="7"/>
  <c r="G80" i="7"/>
  <c r="U80" i="7" s="1"/>
  <c r="M81" i="4" l="1"/>
  <c r="M61" i="4"/>
  <c r="D10" i="17"/>
  <c r="G9" i="16" a="1"/>
  <c r="G9" i="16" s="1"/>
  <c r="H9" i="16" a="1"/>
  <c r="H9" i="16" s="1"/>
  <c r="I9" i="16" a="1"/>
  <c r="I9" i="16" s="1"/>
  <c r="J9" i="16" a="1"/>
  <c r="J9" i="16" s="1"/>
  <c r="K9" i="16" a="1"/>
  <c r="K9" i="16" s="1"/>
  <c r="L9" i="16" a="1"/>
  <c r="L9" i="16" s="1"/>
  <c r="M9" i="16" a="1"/>
  <c r="M9" i="16" s="1"/>
  <c r="N9" i="16" a="1"/>
  <c r="N9" i="16" s="1"/>
  <c r="O9" i="16" a="1"/>
  <c r="O9" i="16" s="1"/>
  <c r="P9" i="16" a="1"/>
  <c r="P9" i="16" s="1"/>
  <c r="Q9" i="16" a="1"/>
  <c r="Q9" i="16" s="1"/>
  <c r="G10" i="16" a="1"/>
  <c r="G10" i="16" s="1"/>
  <c r="H10" i="16" a="1"/>
  <c r="H10" i="16" s="1"/>
  <c r="I10" i="16" a="1"/>
  <c r="I10" i="16" s="1"/>
  <c r="J10" i="16" a="1"/>
  <c r="J10" i="16" s="1"/>
  <c r="K10" i="16" a="1"/>
  <c r="K10" i="16" s="1"/>
  <c r="L10" i="16" a="1"/>
  <c r="L10" i="16" s="1"/>
  <c r="M10" i="16" a="1"/>
  <c r="M10" i="16" s="1"/>
  <c r="N10" i="16" a="1"/>
  <c r="N10" i="16" s="1"/>
  <c r="O10" i="16" a="1"/>
  <c r="O10" i="16" s="1"/>
  <c r="P10" i="16" a="1"/>
  <c r="P10" i="16" s="1"/>
  <c r="Q10" i="16" a="1"/>
  <c r="Q10" i="16" s="1"/>
  <c r="Q8" i="16" a="1"/>
  <c r="Q8" i="16" s="1"/>
  <c r="P8" i="16" a="1"/>
  <c r="P8" i="16" s="1"/>
  <c r="N8" i="16" a="1"/>
  <c r="N8" i="16" s="1"/>
  <c r="M8" i="16" a="1"/>
  <c r="M8" i="16" s="1"/>
  <c r="L8" i="16" a="1"/>
  <c r="L8" i="16" s="1"/>
  <c r="K8" i="16" a="1"/>
  <c r="K8" i="16" s="1"/>
  <c r="J8" i="16" a="1"/>
  <c r="J8" i="16" s="1"/>
  <c r="O8" i="16" a="1"/>
  <c r="O8" i="16" s="1"/>
  <c r="I8" i="16" a="1"/>
  <c r="I8" i="16" s="1"/>
  <c r="H8" i="16" a="1"/>
  <c r="H8" i="16" s="1"/>
  <c r="G8" i="16" a="1"/>
  <c r="G8" i="16" s="1"/>
  <c r="E9" i="16"/>
  <c r="E10" i="16"/>
  <c r="E11" i="16"/>
  <c r="E8" i="16"/>
  <c r="M5" i="16"/>
  <c r="J5" i="16"/>
  <c r="M4" i="16"/>
  <c r="AL1" i="35" l="1"/>
  <c r="AK1" i="35"/>
  <c r="AJ1" i="35"/>
  <c r="AI1" i="35"/>
  <c r="AH1" i="35"/>
  <c r="AG1" i="35"/>
  <c r="AF1" i="35"/>
  <c r="AE1" i="35"/>
  <c r="AD1" i="35"/>
  <c r="AC1" i="35"/>
  <c r="AB1" i="35"/>
  <c r="G4" i="16" l="1"/>
  <c r="H4" i="16"/>
  <c r="H5" i="16"/>
  <c r="I4" i="16"/>
  <c r="I5" i="16"/>
  <c r="J4" i="16"/>
  <c r="K5" i="16"/>
  <c r="L5" i="16"/>
  <c r="U4" i="16"/>
  <c r="U5" i="16"/>
  <c r="N4" i="16"/>
  <c r="N5" i="16"/>
  <c r="O4" i="16"/>
  <c r="P5" i="16"/>
  <c r="T4" i="16"/>
  <c r="Q4" i="16"/>
  <c r="Q5" i="16"/>
  <c r="W20" i="16" l="1"/>
  <c r="W16" i="16"/>
  <c r="W30" i="16"/>
  <c r="W13" i="16"/>
  <c r="W25" i="16"/>
  <c r="W32" i="16"/>
  <c r="W37" i="16"/>
  <c r="W53" i="16"/>
  <c r="W23" i="16"/>
  <c r="W41" i="16"/>
  <c r="W49" i="16"/>
  <c r="W38" i="16"/>
  <c r="W21" i="16"/>
  <c r="W39" i="16"/>
  <c r="W17" i="16"/>
  <c r="W18" i="16"/>
  <c r="W26" i="16"/>
  <c r="W33" i="16"/>
  <c r="W35" i="16"/>
  <c r="W79" i="16"/>
  <c r="W34" i="16"/>
  <c r="W50" i="16"/>
  <c r="W45" i="16"/>
  <c r="W44" i="16"/>
  <c r="W36" i="16"/>
  <c r="W47" i="16"/>
  <c r="W40" i="16"/>
  <c r="W27" i="16"/>
  <c r="W15" i="16"/>
  <c r="W46" i="16"/>
  <c r="W19" i="16"/>
  <c r="W43" i="16"/>
  <c r="W42" i="16"/>
  <c r="W51" i="16"/>
  <c r="W48" i="16"/>
  <c r="W29" i="16"/>
  <c r="W31" i="16"/>
  <c r="W22" i="16"/>
  <c r="W52" i="16"/>
  <c r="W28" i="16"/>
  <c r="W24" i="16"/>
  <c r="W14" i="16"/>
  <c r="W80" i="16"/>
  <c r="S38" i="16"/>
  <c r="S16" i="16"/>
  <c r="S42" i="16"/>
  <c r="S21" i="16"/>
  <c r="S25" i="16"/>
  <c r="S32" i="16"/>
  <c r="S49" i="16"/>
  <c r="S22" i="16"/>
  <c r="S44" i="16"/>
  <c r="S19" i="16"/>
  <c r="S51" i="16"/>
  <c r="S52" i="16"/>
  <c r="S41" i="16"/>
  <c r="S53" i="16"/>
  <c r="S23" i="16"/>
  <c r="S24" i="16"/>
  <c r="S37" i="16"/>
  <c r="S35" i="16"/>
  <c r="S48" i="16"/>
  <c r="S34" i="16"/>
  <c r="S26" i="16"/>
  <c r="S79" i="16"/>
  <c r="S28" i="16"/>
  <c r="S50" i="16"/>
  <c r="S18" i="16"/>
  <c r="S39" i="16"/>
  <c r="S46" i="16"/>
  <c r="S31" i="16"/>
  <c r="S47" i="16"/>
  <c r="S17" i="16"/>
  <c r="S30" i="16"/>
  <c r="S45" i="16"/>
  <c r="S80" i="16"/>
  <c r="S20" i="16"/>
  <c r="S40" i="16"/>
  <c r="S13" i="16"/>
  <c r="S43" i="16"/>
  <c r="AA43" i="16" s="1"/>
  <c r="AB43" i="16" s="1"/>
  <c r="AC43" i="16" s="1"/>
  <c r="AH43" i="16" s="1"/>
  <c r="S27" i="16"/>
  <c r="S33" i="16"/>
  <c r="S29" i="16"/>
  <c r="S15" i="16"/>
  <c r="S14" i="16"/>
  <c r="S36" i="16"/>
  <c r="W12" i="16"/>
  <c r="S12" i="16"/>
  <c r="T5" i="16"/>
  <c r="G5" i="16"/>
  <c r="AA33" i="16" l="1"/>
  <c r="AB33" i="16" s="1"/>
  <c r="AC33" i="16" s="1"/>
  <c r="AA15" i="16"/>
  <c r="AB15" i="16" s="1"/>
  <c r="AC15" i="16" s="1"/>
  <c r="AH15" i="16" s="1"/>
  <c r="AA47" i="16"/>
  <c r="AB47" i="16" s="1"/>
  <c r="AC47" i="16" s="1"/>
  <c r="AH47" i="16" s="1"/>
  <c r="AA46" i="16"/>
  <c r="AB46" i="16" s="1"/>
  <c r="AC46" i="16" s="1"/>
  <c r="AH46" i="16" s="1"/>
  <c r="AA25" i="16"/>
  <c r="AB25" i="16" s="1"/>
  <c r="AC25" i="16" s="1"/>
  <c r="AH25" i="16" s="1"/>
  <c r="AA21" i="16"/>
  <c r="AB21" i="16" s="1"/>
  <c r="AC21" i="16" s="1"/>
  <c r="AH21" i="16" s="1"/>
  <c r="AA31" i="16"/>
  <c r="AB31" i="16" s="1"/>
  <c r="AC31" i="16" s="1"/>
  <c r="Q28" i="4" s="1"/>
  <c r="AA28" i="4" s="1"/>
  <c r="AA53" i="16"/>
  <c r="AB53" i="16" s="1"/>
  <c r="AC53" i="16" s="1"/>
  <c r="AH53" i="16" s="1"/>
  <c r="AA42" i="16"/>
  <c r="AB42" i="16" s="1"/>
  <c r="AC42" i="16" s="1"/>
  <c r="AH42" i="16" s="1"/>
  <c r="AA39" i="16"/>
  <c r="AB39" i="16" s="1"/>
  <c r="AC39" i="16" s="1"/>
  <c r="AH39" i="16" s="1"/>
  <c r="AA16" i="16"/>
  <c r="AB16" i="16" s="1"/>
  <c r="AC16" i="16" s="1"/>
  <c r="AH16" i="16" s="1"/>
  <c r="AA27" i="16"/>
  <c r="AB27" i="16" s="1"/>
  <c r="AC27" i="16" s="1"/>
  <c r="AH27" i="16" s="1"/>
  <c r="AA20" i="16"/>
  <c r="AB20" i="16" s="1"/>
  <c r="AC20" i="16" s="1"/>
  <c r="AH20" i="16" s="1"/>
  <c r="AA36" i="16"/>
  <c r="AB36" i="16" s="1"/>
  <c r="AC36" i="16" s="1"/>
  <c r="AH36" i="16" s="1"/>
  <c r="AA23" i="16"/>
  <c r="AB23" i="16" s="1"/>
  <c r="AC23" i="16" s="1"/>
  <c r="AH23" i="16" s="1"/>
  <c r="AA37" i="16"/>
  <c r="AB37" i="16" s="1"/>
  <c r="AC37" i="16" s="1"/>
  <c r="AH37" i="16" s="1"/>
  <c r="AA24" i="16"/>
  <c r="AB24" i="16" s="1"/>
  <c r="AC24" i="16" s="1"/>
  <c r="Q21" i="4" s="1"/>
  <c r="AA21" i="4" s="1"/>
  <c r="AA52" i="16"/>
  <c r="AB52" i="16" s="1"/>
  <c r="AC52" i="16" s="1"/>
  <c r="AH52" i="16" s="1"/>
  <c r="AA30" i="16"/>
  <c r="AB30" i="16" s="1"/>
  <c r="AC30" i="16" s="1"/>
  <c r="AH30" i="16" s="1"/>
  <c r="AA22" i="16"/>
  <c r="AB22" i="16" s="1"/>
  <c r="AC22" i="16" s="1"/>
  <c r="AH22" i="16" s="1"/>
  <c r="AA18" i="16"/>
  <c r="AB18" i="16" s="1"/>
  <c r="AC18" i="16" s="1"/>
  <c r="AH18" i="16" s="1"/>
  <c r="AA13" i="16"/>
  <c r="AB13" i="16" s="1"/>
  <c r="AC13" i="16" s="1"/>
  <c r="Q10" i="4" s="1"/>
  <c r="AA10" i="4" s="1"/>
  <c r="AA80" i="16"/>
  <c r="AB80" i="16" s="1"/>
  <c r="AC80" i="16" s="1"/>
  <c r="AH80" i="16" s="1"/>
  <c r="AA28" i="16"/>
  <c r="AB28" i="16" s="1"/>
  <c r="AC28" i="16" s="1"/>
  <c r="AH28" i="16" s="1"/>
  <c r="AA26" i="16"/>
  <c r="AB26" i="16" s="1"/>
  <c r="AC26" i="16" s="1"/>
  <c r="AH26" i="16" s="1"/>
  <c r="AA41" i="16"/>
  <c r="AB41" i="16" s="1"/>
  <c r="AC41" i="16" s="1"/>
  <c r="AH41" i="16" s="1"/>
  <c r="AA51" i="16"/>
  <c r="AB51" i="16" s="1"/>
  <c r="AC51" i="16" s="1"/>
  <c r="AH51" i="16" s="1"/>
  <c r="AA50" i="16"/>
  <c r="AB50" i="16" s="1"/>
  <c r="AC50" i="16" s="1"/>
  <c r="AH50" i="16" s="1"/>
  <c r="AA19" i="16"/>
  <c r="AB19" i="16" s="1"/>
  <c r="AC19" i="16" s="1"/>
  <c r="AA40" i="16"/>
  <c r="AB40" i="16" s="1"/>
  <c r="AC40" i="16" s="1"/>
  <c r="AH40" i="16" s="1"/>
  <c r="AA29" i="16"/>
  <c r="AB29" i="16" s="1"/>
  <c r="AC29" i="16" s="1"/>
  <c r="AH29" i="16" s="1"/>
  <c r="AH33" i="16"/>
  <c r="Q31" i="4"/>
  <c r="AA31" i="4" s="1"/>
  <c r="AA38" i="16"/>
  <c r="AB38" i="16" s="1"/>
  <c r="AC38" i="16" s="1"/>
  <c r="AH38" i="16" s="1"/>
  <c r="S67" i="16"/>
  <c r="S76" i="16"/>
  <c r="S58" i="16"/>
  <c r="S54" i="16"/>
  <c r="S69" i="16"/>
  <c r="S59" i="16"/>
  <c r="S60" i="16"/>
  <c r="S81" i="16"/>
  <c r="S68" i="16"/>
  <c r="S62" i="16"/>
  <c r="S74" i="16"/>
  <c r="S82" i="16"/>
  <c r="S55" i="16"/>
  <c r="S72" i="16"/>
  <c r="S70" i="16"/>
  <c r="S61" i="16"/>
  <c r="S77" i="16"/>
  <c r="S73" i="16"/>
  <c r="S63" i="16"/>
  <c r="S84" i="16"/>
  <c r="S83" i="16"/>
  <c r="S56" i="16"/>
  <c r="S78" i="16"/>
  <c r="S64" i="16"/>
  <c r="S57" i="16"/>
  <c r="S71" i="16"/>
  <c r="S65" i="16"/>
  <c r="S85" i="16"/>
  <c r="S75" i="16"/>
  <c r="S66" i="16"/>
  <c r="W63" i="16"/>
  <c r="W81" i="16"/>
  <c r="W59" i="16"/>
  <c r="W73" i="16"/>
  <c r="W56" i="16"/>
  <c r="W68" i="16"/>
  <c r="W85" i="16"/>
  <c r="W61" i="16"/>
  <c r="W54" i="16"/>
  <c r="W66" i="16"/>
  <c r="W67" i="16"/>
  <c r="W84" i="16"/>
  <c r="W55" i="16"/>
  <c r="W72" i="16"/>
  <c r="W64" i="16"/>
  <c r="W71" i="16"/>
  <c r="W57" i="16"/>
  <c r="W70" i="16"/>
  <c r="W83" i="16"/>
  <c r="W78" i="16"/>
  <c r="W58" i="16"/>
  <c r="W76" i="16"/>
  <c r="W74" i="16"/>
  <c r="W75" i="16"/>
  <c r="W65" i="16"/>
  <c r="W82" i="16"/>
  <c r="W60" i="16"/>
  <c r="W77" i="16"/>
  <c r="W62" i="16"/>
  <c r="W69" i="16"/>
  <c r="AA79" i="16"/>
  <c r="AB79" i="16" s="1"/>
  <c r="AC79" i="16" s="1"/>
  <c r="AH79" i="16" s="1"/>
  <c r="AA44" i="16"/>
  <c r="AB44" i="16" s="1"/>
  <c r="AC44" i="16" s="1"/>
  <c r="AH44" i="16" s="1"/>
  <c r="AA45" i="16"/>
  <c r="AB45" i="16" s="1"/>
  <c r="AC45" i="16" s="1"/>
  <c r="AH45" i="16" s="1"/>
  <c r="AA34" i="16"/>
  <c r="AB34" i="16" s="1"/>
  <c r="AC34" i="16" s="1"/>
  <c r="AA48" i="16"/>
  <c r="AB48" i="16" s="1"/>
  <c r="AC48" i="16" s="1"/>
  <c r="AH48" i="16" s="1"/>
  <c r="AA49" i="16"/>
  <c r="AB49" i="16" s="1"/>
  <c r="AC49" i="16" s="1"/>
  <c r="AH49" i="16" s="1"/>
  <c r="AA14" i="16"/>
  <c r="AB14" i="16" s="1"/>
  <c r="AC14" i="16" s="1"/>
  <c r="AH14" i="16" s="1"/>
  <c r="AA17" i="16"/>
  <c r="AB17" i="16" s="1"/>
  <c r="AC17" i="16" s="1"/>
  <c r="AA35" i="16"/>
  <c r="AB35" i="16" s="1"/>
  <c r="AC35" i="16" s="1"/>
  <c r="AH35" i="16" s="1"/>
  <c r="AA32" i="16"/>
  <c r="AB32" i="16" s="1"/>
  <c r="AC32" i="16" s="1"/>
  <c r="AA12" i="16"/>
  <c r="AB12" i="16" s="1"/>
  <c r="AC12" i="16" s="1"/>
  <c r="AH12" i="16" s="1"/>
  <c r="O61" i="4"/>
  <c r="AJ84" i="4"/>
  <c r="AK84" i="4"/>
  <c r="Q22" i="4" l="1"/>
  <c r="AA22" i="4" s="1"/>
  <c r="AH31" i="16"/>
  <c r="Q50" i="4"/>
  <c r="AA50" i="4" s="1"/>
  <c r="Q13" i="4"/>
  <c r="AA13" i="4" s="1"/>
  <c r="Q17" i="4"/>
  <c r="AA17" i="4" s="1"/>
  <c r="AH24" i="16"/>
  <c r="Q26" i="4"/>
  <c r="AA26" i="4" s="1"/>
  <c r="AH13" i="16"/>
  <c r="Q15" i="4"/>
  <c r="AA15" i="4" s="1"/>
  <c r="AA64" i="16"/>
  <c r="AB64" i="16" s="1"/>
  <c r="AC64" i="16" s="1"/>
  <c r="AH64" i="16" s="1"/>
  <c r="AA72" i="16"/>
  <c r="AB72" i="16" s="1"/>
  <c r="AC72" i="16" s="1"/>
  <c r="AH72" i="16" s="1"/>
  <c r="AA82" i="16"/>
  <c r="AB82" i="16" s="1"/>
  <c r="AC82" i="16" s="1"/>
  <c r="Q79" i="4" s="1"/>
  <c r="AA79" i="4" s="1"/>
  <c r="AA78" i="16"/>
  <c r="AB78" i="16" s="1"/>
  <c r="AC78" i="16" s="1"/>
  <c r="AH78" i="16" s="1"/>
  <c r="AA74" i="16"/>
  <c r="AB74" i="16" s="1"/>
  <c r="AC74" i="16" s="1"/>
  <c r="AH74" i="16" s="1"/>
  <c r="AA84" i="16"/>
  <c r="AB84" i="16" s="1"/>
  <c r="AC84" i="16" s="1"/>
  <c r="AH84" i="16" s="1"/>
  <c r="AA57" i="16"/>
  <c r="AB57" i="16" s="1"/>
  <c r="AC57" i="16" s="1"/>
  <c r="AH57" i="16" s="1"/>
  <c r="AA55" i="16"/>
  <c r="AB55" i="16" s="1"/>
  <c r="AC55" i="16" s="1"/>
  <c r="AH55" i="16" s="1"/>
  <c r="AA67" i="16"/>
  <c r="AB67" i="16" s="1"/>
  <c r="AC67" i="16" s="1"/>
  <c r="AH67" i="16" s="1"/>
  <c r="AA66" i="16"/>
  <c r="AB66" i="16" s="1"/>
  <c r="AC66" i="16" s="1"/>
  <c r="AH66" i="16" s="1"/>
  <c r="AA61" i="16"/>
  <c r="AB61" i="16" s="1"/>
  <c r="AC61" i="16" s="1"/>
  <c r="AH61" i="16" s="1"/>
  <c r="AA54" i="16"/>
  <c r="AB54" i="16" s="1"/>
  <c r="AC54" i="16" s="1"/>
  <c r="AH54" i="16" s="1"/>
  <c r="AA56" i="16"/>
  <c r="AB56" i="16" s="1"/>
  <c r="AC56" i="16" s="1"/>
  <c r="AA83" i="16"/>
  <c r="AB83" i="16" s="1"/>
  <c r="AC83" i="16" s="1"/>
  <c r="AA81" i="16"/>
  <c r="AB81" i="16" s="1"/>
  <c r="AC81" i="16" s="1"/>
  <c r="AH81" i="16" s="1"/>
  <c r="R31" i="4"/>
  <c r="U31" i="4" s="1"/>
  <c r="AA73" i="16"/>
  <c r="AB73" i="16" s="1"/>
  <c r="AC73" i="16" s="1"/>
  <c r="AH73" i="16" s="1"/>
  <c r="AA77" i="16"/>
  <c r="AB77" i="16" s="1"/>
  <c r="AC77" i="16" s="1"/>
  <c r="AH77" i="16" s="1"/>
  <c r="AH17" i="16"/>
  <c r="Q14" i="4"/>
  <c r="AA14" i="4" s="1"/>
  <c r="R10" i="4"/>
  <c r="U10" i="4" s="1"/>
  <c r="R21" i="4"/>
  <c r="U21" i="4" s="1"/>
  <c r="AA62" i="16"/>
  <c r="AB62" i="16" s="1"/>
  <c r="AC62" i="16" s="1"/>
  <c r="AA60" i="16"/>
  <c r="AB60" i="16" s="1"/>
  <c r="AC60" i="16" s="1"/>
  <c r="AH60" i="16" s="1"/>
  <c r="AA68" i="16"/>
  <c r="AB68" i="16" s="1"/>
  <c r="AC68" i="16" s="1"/>
  <c r="AH34" i="16"/>
  <c r="Q32" i="4"/>
  <c r="AA32" i="4" s="1"/>
  <c r="AA63" i="16"/>
  <c r="AB63" i="16" s="1"/>
  <c r="AC63" i="16" s="1"/>
  <c r="AH63" i="16" s="1"/>
  <c r="AA59" i="16"/>
  <c r="AB59" i="16" s="1"/>
  <c r="AC59" i="16" s="1"/>
  <c r="AA75" i="16"/>
  <c r="AB75" i="16" s="1"/>
  <c r="AC75" i="16" s="1"/>
  <c r="AH75" i="16" s="1"/>
  <c r="R28" i="4"/>
  <c r="U28" i="4" s="1"/>
  <c r="Q46" i="4"/>
  <c r="AA46" i="4" s="1"/>
  <c r="AA85" i="16"/>
  <c r="AB85" i="16" s="1"/>
  <c r="AC85" i="16" s="1"/>
  <c r="AH85" i="16" s="1"/>
  <c r="AH32" i="16"/>
  <c r="Q29" i="4"/>
  <c r="AA29" i="4" s="1"/>
  <c r="AA65" i="16"/>
  <c r="AB65" i="16" s="1"/>
  <c r="AC65" i="16" s="1"/>
  <c r="AH65" i="16" s="1"/>
  <c r="AA70" i="16"/>
  <c r="AB70" i="16" s="1"/>
  <c r="AC70" i="16" s="1"/>
  <c r="AH70" i="16" s="1"/>
  <c r="AA58" i="16"/>
  <c r="AB58" i="16" s="1"/>
  <c r="AC58" i="16" s="1"/>
  <c r="AH19" i="16"/>
  <c r="Q16" i="4"/>
  <c r="AA16" i="4" s="1"/>
  <c r="AA69" i="16"/>
  <c r="AB69" i="16" s="1"/>
  <c r="AC69" i="16" s="1"/>
  <c r="AH69" i="16" s="1"/>
  <c r="AA71" i="16"/>
  <c r="AB71" i="16" s="1"/>
  <c r="AC71" i="16" s="1"/>
  <c r="AH71" i="16" s="1"/>
  <c r="AA76" i="16"/>
  <c r="AB76" i="16" s="1"/>
  <c r="AC76" i="16" s="1"/>
  <c r="AH76" i="16" s="1"/>
  <c r="Q76" i="4"/>
  <c r="AA76" i="4" s="1"/>
  <c r="Q9" i="4"/>
  <c r="AA9" i="4" s="1"/>
  <c r="Q27" i="4"/>
  <c r="AA27" i="4" s="1"/>
  <c r="Q47" i="4"/>
  <c r="AA47" i="4" s="1"/>
  <c r="AH47" i="4"/>
  <c r="AL47" i="4" s="1"/>
  <c r="AM47" i="4" s="1"/>
  <c r="Q33" i="4"/>
  <c r="AA33" i="4" s="1"/>
  <c r="P61" i="4"/>
  <c r="AO84" i="4"/>
  <c r="AN84" i="4"/>
  <c r="R22" i="4" l="1"/>
  <c r="R50" i="4"/>
  <c r="U50" i="4" s="1"/>
  <c r="R13" i="4"/>
  <c r="U13" i="4" s="1"/>
  <c r="R17" i="4"/>
  <c r="U17" i="4" s="1"/>
  <c r="R26" i="4"/>
  <c r="R15" i="4"/>
  <c r="V15" i="4" s="1"/>
  <c r="X15" i="4" s="1"/>
  <c r="Q64" i="4"/>
  <c r="AA64" i="4" s="1"/>
  <c r="AH82" i="16"/>
  <c r="Q52" i="4"/>
  <c r="AA52" i="4" s="1"/>
  <c r="AH83" i="16"/>
  <c r="Q80" i="4"/>
  <c r="AA80" i="4" s="1"/>
  <c r="R29" i="4"/>
  <c r="U29" i="4" s="1"/>
  <c r="AH58" i="16"/>
  <c r="Q55" i="4"/>
  <c r="AA55" i="4" s="1"/>
  <c r="R32" i="4"/>
  <c r="U32" i="4" s="1"/>
  <c r="AH62" i="16"/>
  <c r="Q59" i="4"/>
  <c r="AA59" i="4" s="1"/>
  <c r="R16" i="4"/>
  <c r="AH59" i="16"/>
  <c r="Q56" i="4"/>
  <c r="AA56" i="4" s="1"/>
  <c r="R46" i="4"/>
  <c r="U46" i="4" s="1"/>
  <c r="R14" i="4"/>
  <c r="AH56" i="16"/>
  <c r="Q53" i="4"/>
  <c r="AA53" i="4" s="1"/>
  <c r="R79" i="4"/>
  <c r="U79" i="4" s="1"/>
  <c r="AH68" i="16"/>
  <c r="Q65" i="4"/>
  <c r="AA65" i="4" s="1"/>
  <c r="R76" i="4"/>
  <c r="R9" i="4"/>
  <c r="R27" i="4"/>
  <c r="R47" i="4"/>
  <c r="R33" i="4"/>
  <c r="Q61" i="4"/>
  <c r="AA61" i="4" s="1"/>
  <c r="AE49" i="4"/>
  <c r="AE45" i="4"/>
  <c r="AF42" i="4"/>
  <c r="AF18" i="4"/>
  <c r="U22" i="4" l="1"/>
  <c r="V22" i="4"/>
  <c r="X22" i="4" s="1"/>
  <c r="U26" i="4"/>
  <c r="V26" i="4"/>
  <c r="X26" i="4" s="1"/>
  <c r="U14" i="4"/>
  <c r="V14" i="4"/>
  <c r="X14" i="4" s="1"/>
  <c r="V13" i="4"/>
  <c r="X13" i="4" s="1"/>
  <c r="V17" i="4"/>
  <c r="X17" i="4" s="1"/>
  <c r="U15" i="4"/>
  <c r="R64" i="4"/>
  <c r="V64" i="4" s="1"/>
  <c r="X64" i="4" s="1"/>
  <c r="V46" i="4"/>
  <c r="X46" i="4" s="1"/>
  <c r="R52" i="4"/>
  <c r="U52" i="4" s="1"/>
  <c r="R53" i="4"/>
  <c r="R55" i="4"/>
  <c r="U55" i="4" s="1"/>
  <c r="R56" i="4"/>
  <c r="U56" i="4" s="1"/>
  <c r="R59" i="4"/>
  <c r="R65" i="4"/>
  <c r="U16" i="4"/>
  <c r="V16" i="4"/>
  <c r="X16" i="4" s="1"/>
  <c r="R80" i="4"/>
  <c r="U76" i="4"/>
  <c r="V76" i="4"/>
  <c r="X76" i="4" s="1"/>
  <c r="U33" i="4"/>
  <c r="U27" i="4"/>
  <c r="V47" i="4"/>
  <c r="X47" i="4" s="1"/>
  <c r="U9" i="4"/>
  <c r="V9" i="4"/>
  <c r="X9" i="4" s="1"/>
  <c r="V27" i="4"/>
  <c r="X27" i="4" s="1"/>
  <c r="U47" i="4"/>
  <c r="V33" i="4"/>
  <c r="X33" i="4" s="1"/>
  <c r="R61" i="4"/>
  <c r="AF49" i="4"/>
  <c r="AD84" i="4"/>
  <c r="AF45" i="4"/>
  <c r="AE11" i="4"/>
  <c r="AE18" i="4"/>
  <c r="AE60" i="4"/>
  <c r="AE12" i="4"/>
  <c r="AF12" i="4"/>
  <c r="AF60" i="4"/>
  <c r="AE42" i="4"/>
  <c r="AE70" i="4"/>
  <c r="AF70" i="4"/>
  <c r="AF11" i="4"/>
  <c r="U64" i="4" l="1"/>
  <c r="U53" i="4"/>
  <c r="V53" i="4"/>
  <c r="X53" i="4" s="1"/>
  <c r="U80" i="4"/>
  <c r="V80" i="4"/>
  <c r="X80" i="4" s="1"/>
  <c r="U65" i="4"/>
  <c r="V65" i="4"/>
  <c r="X65" i="4" s="1"/>
  <c r="U59" i="4"/>
  <c r="V59" i="4"/>
  <c r="X59" i="4" s="1"/>
  <c r="U61" i="4"/>
  <c r="V61" i="4"/>
  <c r="X61" i="4" s="1"/>
  <c r="AF84" i="4"/>
  <c r="AE84" i="4"/>
  <c r="B5" i="31" l="1"/>
  <c r="B4" i="31"/>
  <c r="E4" i="31" l="1" a="1"/>
  <c r="E4" i="31" s="1"/>
  <c r="E5" i="31" a="1"/>
  <c r="E5" i="31" s="1"/>
  <c r="C4" i="31"/>
  <c r="D4" i="31" s="1"/>
  <c r="B6" i="31"/>
  <c r="H7" i="31"/>
  <c r="F4" i="31" l="1"/>
  <c r="E6" i="31" a="1"/>
  <c r="E6" i="31" s="1"/>
  <c r="E7" i="31" s="1"/>
  <c r="C5" i="31"/>
  <c r="D5" i="31" s="1"/>
  <c r="G23" i="8"/>
  <c r="F5" i="31" l="1"/>
  <c r="C6" i="31"/>
  <c r="H1" i="8"/>
  <c r="F23" i="8" s="1"/>
  <c r="B34" i="8"/>
  <c r="C32" i="8"/>
  <c r="G33" i="8" a="1"/>
  <c r="H23" i="8" l="1"/>
  <c r="V8" i="16"/>
  <c r="V9" i="16"/>
  <c r="V10" i="16"/>
  <c r="V11" i="16"/>
  <c r="D6" i="31"/>
  <c r="F6" i="31" s="1"/>
  <c r="G33" i="8"/>
  <c r="D82" i="4" l="1"/>
  <c r="N82" i="4" s="1"/>
  <c r="D78" i="4"/>
  <c r="N78" i="4" s="1"/>
  <c r="D77" i="4"/>
  <c r="N77" i="4" s="1"/>
  <c r="D75" i="4"/>
  <c r="N75" i="4" s="1"/>
  <c r="D74" i="4"/>
  <c r="N74" i="4" s="1"/>
  <c r="D73" i="4"/>
  <c r="N73" i="4" s="1"/>
  <c r="D72" i="4"/>
  <c r="N72" i="4" s="1"/>
  <c r="D71" i="4"/>
  <c r="N71" i="4" s="1"/>
  <c r="D70" i="4"/>
  <c r="N70" i="4" s="1"/>
  <c r="D69" i="4"/>
  <c r="N69" i="4" s="1"/>
  <c r="D68" i="4"/>
  <c r="N68" i="4" s="1"/>
  <c r="D67" i="4"/>
  <c r="N67" i="4" s="1"/>
  <c r="D66" i="4"/>
  <c r="N66" i="4" s="1"/>
  <c r="D63" i="4"/>
  <c r="N63" i="4" s="1"/>
  <c r="D62" i="4"/>
  <c r="N62" i="4" s="1"/>
  <c r="D60" i="4"/>
  <c r="N60" i="4" s="1"/>
  <c r="D58" i="4"/>
  <c r="N58" i="4" s="1"/>
  <c r="D57" i="4"/>
  <c r="N57" i="4" s="1"/>
  <c r="D54" i="4"/>
  <c r="N54" i="4" s="1"/>
  <c r="D51" i="4"/>
  <c r="N51" i="4" s="1"/>
  <c r="D49" i="4"/>
  <c r="N49" i="4" s="1"/>
  <c r="D48" i="4"/>
  <c r="N48" i="4" s="1"/>
  <c r="D45" i="4"/>
  <c r="N45" i="4" s="1"/>
  <c r="D44" i="4"/>
  <c r="N44" i="4" s="1"/>
  <c r="D43" i="4"/>
  <c r="N43" i="4" s="1"/>
  <c r="D42" i="4"/>
  <c r="N42" i="4" s="1"/>
  <c r="D41" i="4"/>
  <c r="N41" i="4" s="1"/>
  <c r="D40" i="4"/>
  <c r="N40" i="4" s="1"/>
  <c r="D39" i="4"/>
  <c r="N39" i="4" s="1"/>
  <c r="D38" i="4"/>
  <c r="N38" i="4" s="1"/>
  <c r="D37" i="4"/>
  <c r="N37" i="4" s="1"/>
  <c r="D36" i="4"/>
  <c r="N36" i="4" s="1"/>
  <c r="D35" i="4"/>
  <c r="N35" i="4" s="1"/>
  <c r="D34" i="4"/>
  <c r="N34" i="4" s="1"/>
  <c r="D25" i="4"/>
  <c r="N25" i="4" s="1"/>
  <c r="D24" i="4"/>
  <c r="N24" i="4" s="1"/>
  <c r="D23" i="4"/>
  <c r="N23" i="4" s="1"/>
  <c r="D20" i="4"/>
  <c r="N20" i="4" s="1"/>
  <c r="D30" i="4"/>
  <c r="N30" i="4" s="1"/>
  <c r="D19" i="4"/>
  <c r="N19" i="4" s="1"/>
  <c r="D18" i="4"/>
  <c r="N18" i="4" s="1"/>
  <c r="D12" i="4"/>
  <c r="N12" i="4" s="1"/>
  <c r="D11" i="4"/>
  <c r="N11" i="4" s="1"/>
  <c r="D8" i="4"/>
  <c r="N8" i="4" s="1"/>
  <c r="D7" i="4"/>
  <c r="N7" i="4" s="1"/>
  <c r="D6" i="4"/>
  <c r="N6" i="4" s="1"/>
  <c r="D5" i="4"/>
  <c r="F82" i="4"/>
  <c r="F78" i="4"/>
  <c r="F77" i="4"/>
  <c r="F75" i="4"/>
  <c r="F74" i="4"/>
  <c r="F73" i="4"/>
  <c r="F72" i="4"/>
  <c r="F71" i="4"/>
  <c r="F70" i="4"/>
  <c r="F69" i="4"/>
  <c r="F68" i="4"/>
  <c r="F67" i="4"/>
  <c r="F66" i="4"/>
  <c r="F63" i="4"/>
  <c r="F62" i="4"/>
  <c r="F60" i="4"/>
  <c r="F58" i="4"/>
  <c r="F57" i="4"/>
  <c r="F54" i="4"/>
  <c r="F51" i="4"/>
  <c r="F49" i="4"/>
  <c r="F48" i="4"/>
  <c r="F45" i="4"/>
  <c r="F44" i="4"/>
  <c r="F43" i="4"/>
  <c r="F42" i="4"/>
  <c r="F41" i="4"/>
  <c r="F40" i="4"/>
  <c r="F39" i="4"/>
  <c r="F38" i="4"/>
  <c r="F37" i="4"/>
  <c r="F36" i="4"/>
  <c r="F35" i="4"/>
  <c r="F34" i="4"/>
  <c r="F25" i="4"/>
  <c r="F24" i="4"/>
  <c r="F23" i="4"/>
  <c r="F20" i="4"/>
  <c r="F30" i="4"/>
  <c r="F19" i="4"/>
  <c r="F18" i="4"/>
  <c r="F12" i="4"/>
  <c r="F11" i="4"/>
  <c r="F8" i="4"/>
  <c r="F7" i="4"/>
  <c r="F6" i="4"/>
  <c r="F5" i="4"/>
  <c r="J92" i="4" l="1"/>
  <c r="H8" i="8"/>
  <c r="B11" i="8" s="1"/>
  <c r="F12" i="8" l="1"/>
  <c r="F11" i="8"/>
  <c r="F13" i="8"/>
  <c r="B15" i="8"/>
  <c r="F15" i="8" s="1"/>
  <c r="B19" i="8"/>
  <c r="C20" i="8" s="1"/>
  <c r="B37" i="28"/>
  <c r="B36" i="28"/>
  <c r="F36" i="28" s="1"/>
  <c r="F14" i="28"/>
  <c r="F11" i="16"/>
  <c r="F10" i="16"/>
  <c r="C17" i="8" l="1"/>
  <c r="C16" i="8"/>
  <c r="F16" i="8"/>
  <c r="F17" i="8"/>
  <c r="C21" i="8"/>
  <c r="F19" i="8"/>
  <c r="F21" i="8"/>
  <c r="G19" i="8"/>
  <c r="F20" i="8"/>
  <c r="R9" i="16"/>
  <c r="R11" i="16"/>
  <c r="R10" i="16"/>
  <c r="F9" i="16"/>
  <c r="E47" i="7"/>
  <c r="K48" i="4" s="1"/>
  <c r="E48" i="4" l="1"/>
  <c r="Y48" i="4" s="1"/>
  <c r="S47" i="7"/>
  <c r="R47" i="7"/>
  <c r="I48" i="4"/>
  <c r="G47" i="7"/>
  <c r="M48" i="4" l="1"/>
  <c r="B4" i="17"/>
  <c r="B12" i="17" l="1"/>
  <c r="B14" i="17"/>
  <c r="D11" i="17"/>
  <c r="D13" i="17"/>
  <c r="B10" i="17"/>
  <c r="D15" i="17"/>
  <c r="B6" i="17"/>
  <c r="B19" i="17"/>
  <c r="D19" i="17" s="1"/>
  <c r="B18" i="17"/>
  <c r="B16" i="17"/>
  <c r="G32" i="8" a="1"/>
  <c r="G32" i="8" s="1"/>
  <c r="L48" i="4" a="1"/>
  <c r="L48" i="4" s="1"/>
  <c r="AG12" i="4"/>
  <c r="AG11" i="4"/>
  <c r="AG42" i="4"/>
  <c r="AG18" i="4"/>
  <c r="AG45" i="4"/>
  <c r="AG49" i="4"/>
  <c r="AG70" i="4"/>
  <c r="AG60" i="4"/>
  <c r="D18" i="17" l="1"/>
  <c r="O48" i="4"/>
  <c r="P48" i="4" s="1"/>
  <c r="AG84" i="4"/>
  <c r="F7" i="31"/>
  <c r="G7" i="31" s="1"/>
  <c r="B32" i="28" l="1"/>
  <c r="B20" i="28" l="1"/>
  <c r="L78" i="4" l="1" a="1"/>
  <c r="L78" i="4" s="1"/>
  <c r="L77" i="4" a="1"/>
  <c r="L77" i="4" s="1"/>
  <c r="L75" i="4" a="1"/>
  <c r="L75" i="4" s="1"/>
  <c r="L74" i="4" a="1"/>
  <c r="L74" i="4" s="1"/>
  <c r="L73" i="4" a="1"/>
  <c r="L73" i="4" s="1"/>
  <c r="L72" i="4" a="1"/>
  <c r="L72" i="4" s="1"/>
  <c r="L71" i="4" a="1"/>
  <c r="L71" i="4" s="1"/>
  <c r="L70" i="4" a="1"/>
  <c r="L70" i="4" s="1"/>
  <c r="L69" i="4" a="1"/>
  <c r="L69" i="4" s="1"/>
  <c r="L68" i="4" a="1"/>
  <c r="L68" i="4" s="1"/>
  <c r="L67" i="4" a="1"/>
  <c r="L67" i="4" s="1"/>
  <c r="L66" i="4" a="1"/>
  <c r="L66" i="4" s="1"/>
  <c r="L63" i="4" a="1"/>
  <c r="L63" i="4" s="1"/>
  <c r="L62" i="4" a="1"/>
  <c r="L62" i="4" s="1"/>
  <c r="L60" i="4" a="1"/>
  <c r="L60" i="4" s="1"/>
  <c r="L58" i="4" a="1"/>
  <c r="L58" i="4" s="1"/>
  <c r="L57" i="4" a="1"/>
  <c r="L57" i="4" s="1"/>
  <c r="L54" i="4" a="1"/>
  <c r="L54" i="4" s="1"/>
  <c r="L51" i="4" a="1"/>
  <c r="L51" i="4" s="1"/>
  <c r="L49" i="4" a="1"/>
  <c r="L49" i="4" s="1"/>
  <c r="L45" i="4" a="1"/>
  <c r="L45" i="4" s="1"/>
  <c r="L44" i="4" a="1"/>
  <c r="L44" i="4" s="1"/>
  <c r="L43" i="4" a="1"/>
  <c r="L43" i="4" s="1"/>
  <c r="L42" i="4" a="1"/>
  <c r="L42" i="4" s="1"/>
  <c r="L41" i="4" a="1"/>
  <c r="L41" i="4" s="1"/>
  <c r="L40" i="4" a="1"/>
  <c r="L40" i="4" s="1"/>
  <c r="L39" i="4" a="1"/>
  <c r="L39" i="4" s="1"/>
  <c r="L38" i="4" a="1"/>
  <c r="L38" i="4" s="1"/>
  <c r="L37" i="4" a="1"/>
  <c r="L37" i="4" s="1"/>
  <c r="L36" i="4" a="1"/>
  <c r="L36" i="4" s="1"/>
  <c r="L35" i="4" a="1"/>
  <c r="L35" i="4" s="1"/>
  <c r="L34" i="4" a="1"/>
  <c r="L34" i="4" s="1"/>
  <c r="L25" i="4" a="1"/>
  <c r="L25" i="4" s="1"/>
  <c r="L24" i="4" a="1"/>
  <c r="L24" i="4" s="1"/>
  <c r="L23" i="4" a="1"/>
  <c r="L23" i="4" s="1"/>
  <c r="L20" i="4" a="1"/>
  <c r="L20" i="4" s="1"/>
  <c r="L30" i="4" a="1"/>
  <c r="L30" i="4" s="1"/>
  <c r="L19" i="4" a="1"/>
  <c r="L19" i="4" s="1"/>
  <c r="L18" i="4" a="1"/>
  <c r="L18" i="4" s="1"/>
  <c r="L12" i="4" a="1"/>
  <c r="L12" i="4" s="1"/>
  <c r="L11" i="4" a="1"/>
  <c r="L11" i="4" s="1"/>
  <c r="L8" i="4" a="1"/>
  <c r="L8" i="4" s="1"/>
  <c r="L7" i="4" a="1"/>
  <c r="L7" i="4" s="1"/>
  <c r="L6" i="4" a="1"/>
  <c r="L6" i="4" s="1"/>
  <c r="L5" i="4" a="1"/>
  <c r="L5" i="4" s="1"/>
  <c r="AG11" i="16"/>
  <c r="X11" i="16" s="1"/>
  <c r="AF11" i="16"/>
  <c r="AG10" i="16"/>
  <c r="X10" i="16" s="1"/>
  <c r="AF10" i="16"/>
  <c r="AG9" i="16"/>
  <c r="X9" i="16" s="1"/>
  <c r="AF9" i="16"/>
  <c r="AG8" i="16"/>
  <c r="X8" i="16" s="1"/>
  <c r="AF8" i="16"/>
  <c r="L82" i="4" l="1" a="1"/>
  <c r="L82" i="4" s="1"/>
  <c r="L81" i="4" a="1"/>
  <c r="L81" i="4" s="1"/>
  <c r="D21" i="17"/>
  <c r="R8" i="16" l="1"/>
  <c r="F8" i="16"/>
  <c r="Q86" i="16"/>
  <c r="D86" i="16"/>
  <c r="D12" i="17" l="1"/>
  <c r="D37" i="17" l="1"/>
  <c r="D16" i="17"/>
  <c r="B38" i="17"/>
  <c r="D35" i="17" l="1"/>
  <c r="D14" i="17"/>
  <c r="W11" i="16" l="1"/>
  <c r="W8" i="16"/>
  <c r="W10" i="16"/>
  <c r="W9" i="16"/>
  <c r="G11" i="8"/>
  <c r="D32" i="28" l="1"/>
  <c r="D10" i="28"/>
  <c r="D32" i="17"/>
  <c r="B1" i="16" l="1"/>
  <c r="C1" i="16" s="1"/>
  <c r="D1" i="16" s="1"/>
  <c r="E1" i="16" s="1"/>
  <c r="F1" i="16" s="1"/>
  <c r="G1" i="16" s="1"/>
  <c r="H1" i="16" s="1"/>
  <c r="I1" i="16" s="1"/>
  <c r="J1" i="16" s="1"/>
  <c r="K1" i="16" s="1"/>
  <c r="L1" i="16" s="1"/>
  <c r="M1" i="16" s="1"/>
  <c r="N1" i="16" s="1"/>
  <c r="O1" i="16" s="1"/>
  <c r="P1" i="16" s="1"/>
  <c r="Q1" i="16" s="1"/>
  <c r="R1" i="16" s="1"/>
  <c r="S1" i="16" s="1"/>
  <c r="T1" i="16" s="1"/>
  <c r="U1" i="16" s="1"/>
  <c r="V1" i="16" s="1"/>
  <c r="W1" i="16" s="1"/>
  <c r="X1" i="16" s="1"/>
  <c r="Y1" i="16" s="1"/>
  <c r="Z1" i="16" s="1"/>
  <c r="AA1" i="16" s="1"/>
  <c r="AB1" i="16" s="1"/>
  <c r="AC1" i="16" s="1"/>
  <c r="X5" i="16"/>
  <c r="S10" i="16" l="1"/>
  <c r="S9" i="16"/>
  <c r="S11" i="16"/>
  <c r="Q48" i="4"/>
  <c r="AA48" i="4" s="1"/>
  <c r="S8" i="16"/>
  <c r="AG86" i="16"/>
  <c r="R48" i="4" l="1"/>
  <c r="U48" i="4" l="1"/>
  <c r="V48" i="4"/>
  <c r="X48" i="4" s="1"/>
  <c r="E44" i="7"/>
  <c r="K45" i="4" s="1"/>
  <c r="S44" i="7" l="1"/>
  <c r="R44" i="7"/>
  <c r="E45" i="4"/>
  <c r="Y45" i="4" s="1"/>
  <c r="I45" i="4"/>
  <c r="M45" i="4" l="1"/>
  <c r="AI45" i="4"/>
  <c r="G44" i="7"/>
  <c r="AF86" i="16"/>
  <c r="B38" i="28"/>
  <c r="F15" i="28"/>
  <c r="A40" i="17" l="1"/>
  <c r="O45" i="4" l="1"/>
  <c r="P45" i="4" s="1"/>
  <c r="B40" i="17"/>
  <c r="C86" i="16" l="1"/>
  <c r="Q45" i="4" l="1"/>
  <c r="AA45" i="4" s="1"/>
  <c r="AH45" i="4"/>
  <c r="AL45" i="4" s="1"/>
  <c r="AM45" i="4" s="1"/>
  <c r="E25" i="7"/>
  <c r="K30" i="4" s="1"/>
  <c r="I30" i="4" l="1"/>
  <c r="S25" i="7"/>
  <c r="R25" i="7"/>
  <c r="E30" i="4"/>
  <c r="Y30" i="4" s="1"/>
  <c r="M30" i="4" l="1"/>
  <c r="G25" i="7"/>
  <c r="H19" i="8" l="1"/>
  <c r="O30" i="4"/>
  <c r="P30" i="4" s="1"/>
  <c r="B35" i="28"/>
  <c r="F18" i="28"/>
  <c r="Q30" i="4" l="1"/>
  <c r="AA30" i="4" s="1"/>
  <c r="F37" i="28"/>
  <c r="B45" i="28"/>
  <c r="F17" i="28"/>
  <c r="F35" i="28"/>
  <c r="F13" i="28"/>
  <c r="F20" i="28"/>
  <c r="F38" i="28" l="1"/>
  <c r="F10" i="28"/>
  <c r="F22" i="28" s="1"/>
  <c r="F27" i="28" s="1"/>
  <c r="F32" i="28"/>
  <c r="F41" i="28" l="1"/>
  <c r="D45" i="28" s="1"/>
  <c r="F45" i="28" s="1"/>
  <c r="F47" i="28" s="1"/>
  <c r="R30" i="4" l="1"/>
  <c r="V30" i="4" l="1"/>
  <c r="R45" i="4"/>
  <c r="F10" i="17"/>
  <c r="V45" i="4" l="1"/>
  <c r="B32" i="17"/>
  <c r="E81" i="7" l="1"/>
  <c r="K82" i="4" s="1"/>
  <c r="E77" i="7"/>
  <c r="K78" i="4" s="1"/>
  <c r="E73" i="7"/>
  <c r="K74" i="4" s="1"/>
  <c r="E72" i="7"/>
  <c r="K73" i="4" s="1"/>
  <c r="E71" i="7"/>
  <c r="K72" i="4" s="1"/>
  <c r="E70" i="7"/>
  <c r="K71" i="4" s="1"/>
  <c r="E69" i="7"/>
  <c r="K70" i="4" s="1"/>
  <c r="E68" i="7"/>
  <c r="K68" i="4" s="1"/>
  <c r="E62" i="7"/>
  <c r="K63" i="4" s="1"/>
  <c r="E61" i="7"/>
  <c r="K62" i="4" s="1"/>
  <c r="E59" i="7"/>
  <c r="K60" i="4" s="1"/>
  <c r="E57" i="7"/>
  <c r="K58" i="4" s="1"/>
  <c r="E56" i="7"/>
  <c r="K57" i="4" s="1"/>
  <c r="E53" i="7"/>
  <c r="K54" i="4" s="1"/>
  <c r="E43" i="7"/>
  <c r="K44" i="4" s="1"/>
  <c r="E42" i="7"/>
  <c r="K43" i="4" s="1"/>
  <c r="E41" i="7"/>
  <c r="K42" i="4" s="1"/>
  <c r="E40" i="7"/>
  <c r="K41" i="4" s="1"/>
  <c r="E37" i="7"/>
  <c r="K39" i="4" s="1"/>
  <c r="E34" i="7"/>
  <c r="K36" i="4" s="1"/>
  <c r="E33" i="7"/>
  <c r="K35" i="4" s="1"/>
  <c r="E32" i="7"/>
  <c r="K34" i="4" s="1"/>
  <c r="E24" i="7"/>
  <c r="K25" i="4" s="1"/>
  <c r="E22" i="7"/>
  <c r="K23" i="4" s="1"/>
  <c r="E11" i="7"/>
  <c r="K12" i="4" s="1"/>
  <c r="E10" i="7"/>
  <c r="K11" i="4" s="1"/>
  <c r="E7" i="7"/>
  <c r="K8" i="4" s="1"/>
  <c r="E4" i="7"/>
  <c r="K5" i="4" s="1"/>
  <c r="I5" i="4" l="1"/>
  <c r="H4" i="7"/>
  <c r="AD4" i="7" s="1"/>
  <c r="F34" i="8" s="1"/>
  <c r="E81" i="4"/>
  <c r="Y81" i="4" s="1"/>
  <c r="I81" i="4"/>
  <c r="G40" i="7"/>
  <c r="U40" i="7" s="1"/>
  <c r="AI42" i="4"/>
  <c r="AI11" i="4"/>
  <c r="AI60" i="4"/>
  <c r="AI70" i="4"/>
  <c r="AI12" i="4"/>
  <c r="S43" i="7"/>
  <c r="S34" i="7"/>
  <c r="E17" i="7"/>
  <c r="K18" i="4" s="1"/>
  <c r="E18" i="7"/>
  <c r="K19" i="4" s="1"/>
  <c r="E48" i="7"/>
  <c r="K49" i="4" s="1"/>
  <c r="E66" i="7"/>
  <c r="K66" i="4" s="1"/>
  <c r="E74" i="7"/>
  <c r="K75" i="4" s="1"/>
  <c r="E5" i="7"/>
  <c r="K6" i="4" s="1"/>
  <c r="E35" i="7"/>
  <c r="K37" i="4" s="1"/>
  <c r="E23" i="7"/>
  <c r="K24" i="4" s="1"/>
  <c r="E38" i="7"/>
  <c r="K40" i="4" s="1"/>
  <c r="E6" i="7"/>
  <c r="K7" i="4" s="1"/>
  <c r="E19" i="7"/>
  <c r="K20" i="4" s="1"/>
  <c r="E36" i="7"/>
  <c r="K38" i="4" s="1"/>
  <c r="E50" i="7"/>
  <c r="K51" i="4" s="1"/>
  <c r="E67" i="7"/>
  <c r="K67" i="4" s="1"/>
  <c r="E76" i="7"/>
  <c r="K77" i="4" s="1"/>
  <c r="E65" i="7"/>
  <c r="K69" i="4" s="1"/>
  <c r="G34" i="8" a="1"/>
  <c r="K1" i="4" l="1"/>
  <c r="F38" i="8"/>
  <c r="N5" i="4"/>
  <c r="G34" i="8"/>
  <c r="H34" i="8" s="1"/>
  <c r="H40" i="7"/>
  <c r="H82" i="7" s="1"/>
  <c r="AI18" i="4"/>
  <c r="AI49" i="4"/>
  <c r="I7" i="31"/>
  <c r="AI84" i="4" l="1"/>
  <c r="X30" i="4"/>
  <c r="X45" i="4" l="1"/>
  <c r="U45" i="4"/>
  <c r="U30" i="4"/>
  <c r="F25" i="8" l="1"/>
  <c r="H25" i="8" s="1"/>
  <c r="F27" i="8"/>
  <c r="H27" i="8" s="1"/>
  <c r="G15" i="8"/>
  <c r="S65" i="7"/>
  <c r="R65" i="7"/>
  <c r="E69" i="4"/>
  <c r="Y69" i="4" s="1"/>
  <c r="C82" i="7"/>
  <c r="D82" i="7"/>
  <c r="M69" i="4" l="1"/>
  <c r="H15" i="8"/>
  <c r="G42" i="7"/>
  <c r="G18" i="7"/>
  <c r="S35" i="7"/>
  <c r="R35" i="7"/>
  <c r="S81" i="7"/>
  <c r="R81" i="7"/>
  <c r="R42" i="7"/>
  <c r="S42" i="7"/>
  <c r="S40" i="7"/>
  <c r="R40" i="7"/>
  <c r="R48" i="7"/>
  <c r="S48" i="7"/>
  <c r="R61" i="7"/>
  <c r="S61" i="7"/>
  <c r="S57" i="7"/>
  <c r="R57" i="7"/>
  <c r="S73" i="7"/>
  <c r="R73" i="7"/>
  <c r="R11" i="7"/>
  <c r="S11" i="7"/>
  <c r="S53" i="7"/>
  <c r="R53" i="7"/>
  <c r="R36" i="7"/>
  <c r="S36" i="7"/>
  <c r="R38" i="7"/>
  <c r="S38" i="7"/>
  <c r="F33" i="8" s="1"/>
  <c r="H33" i="8" s="1"/>
  <c r="S7" i="7"/>
  <c r="R7" i="7"/>
  <c r="S68" i="7"/>
  <c r="R68" i="7"/>
  <c r="R66" i="7"/>
  <c r="S66" i="7"/>
  <c r="S37" i="7"/>
  <c r="R37" i="7"/>
  <c r="S18" i="7"/>
  <c r="R18" i="7"/>
  <c r="R34" i="7"/>
  <c r="M36" i="4" s="1"/>
  <c r="R56" i="7"/>
  <c r="S56" i="7"/>
  <c r="S5" i="7"/>
  <c r="R5" i="7"/>
  <c r="R70" i="7"/>
  <c r="S70" i="7"/>
  <c r="R19" i="7"/>
  <c r="S19" i="7"/>
  <c r="R32" i="7"/>
  <c r="S32" i="7"/>
  <c r="R17" i="7"/>
  <c r="S17" i="7"/>
  <c r="R50" i="7"/>
  <c r="S50" i="7"/>
  <c r="S67" i="7"/>
  <c r="R67" i="7"/>
  <c r="R71" i="7"/>
  <c r="S71" i="7"/>
  <c r="S59" i="7"/>
  <c r="R59" i="7"/>
  <c r="S62" i="7"/>
  <c r="R62" i="7"/>
  <c r="R22" i="7"/>
  <c r="S22" i="7"/>
  <c r="S10" i="7"/>
  <c r="R10" i="7"/>
  <c r="S77" i="7"/>
  <c r="R77" i="7"/>
  <c r="R74" i="7"/>
  <c r="S74" i="7"/>
  <c r="R41" i="7"/>
  <c r="S41" i="7"/>
  <c r="S23" i="7"/>
  <c r="R23" i="7"/>
  <c r="R43" i="7"/>
  <c r="M44" i="4" s="1"/>
  <c r="R76" i="7"/>
  <c r="S76" i="7"/>
  <c r="S6" i="7"/>
  <c r="R6" i="7"/>
  <c r="R72" i="7"/>
  <c r="S72" i="7"/>
  <c r="S69" i="7"/>
  <c r="R69" i="7"/>
  <c r="S33" i="7"/>
  <c r="R33" i="7"/>
  <c r="S24" i="7"/>
  <c r="R24" i="7"/>
  <c r="G69" i="7"/>
  <c r="W69" i="7" s="1"/>
  <c r="E35" i="4"/>
  <c r="Y35" i="4" s="1"/>
  <c r="E8" i="4"/>
  <c r="Y8" i="4" s="1"/>
  <c r="E41" i="4"/>
  <c r="Y41" i="4" s="1"/>
  <c r="E23" i="4"/>
  <c r="Y23" i="4" s="1"/>
  <c r="E58" i="4"/>
  <c r="Y58" i="4" s="1"/>
  <c r="E25" i="4"/>
  <c r="Y25" i="4" s="1"/>
  <c r="E54" i="4"/>
  <c r="Y54" i="4" s="1"/>
  <c r="E62" i="4"/>
  <c r="Y62" i="4" s="1"/>
  <c r="E11" i="4"/>
  <c r="Y11" i="4" s="1"/>
  <c r="E49" i="4"/>
  <c r="Y49" i="4" s="1"/>
  <c r="E66" i="4"/>
  <c r="Y66" i="4" s="1"/>
  <c r="E68" i="4"/>
  <c r="Y68" i="4" s="1"/>
  <c r="E39" i="4"/>
  <c r="Y39" i="4" s="1"/>
  <c r="E71" i="4"/>
  <c r="Y71" i="4" s="1"/>
  <c r="E37" i="4"/>
  <c r="Y37" i="4" s="1"/>
  <c r="E43" i="4"/>
  <c r="Y43" i="4" s="1"/>
  <c r="E6" i="4"/>
  <c r="Y6" i="4" s="1"/>
  <c r="E12" i="4"/>
  <c r="Y12" i="4" s="1"/>
  <c r="E20" i="4"/>
  <c r="Y20" i="4" s="1"/>
  <c r="E77" i="4"/>
  <c r="Y77" i="4" s="1"/>
  <c r="E40" i="4"/>
  <c r="Y40" i="4" s="1"/>
  <c r="E24" i="4"/>
  <c r="Y24" i="4" s="1"/>
  <c r="E34" i="4"/>
  <c r="Y34" i="4" s="1"/>
  <c r="E73" i="4"/>
  <c r="Y73" i="4" s="1"/>
  <c r="E57" i="4"/>
  <c r="Y57" i="4" s="1"/>
  <c r="E82" i="4"/>
  <c r="Y82" i="4" s="1"/>
  <c r="E38" i="4"/>
  <c r="Y38" i="4" s="1"/>
  <c r="E42" i="4"/>
  <c r="Y42" i="4" s="1"/>
  <c r="E78" i="4"/>
  <c r="Y78" i="4" s="1"/>
  <c r="E63" i="4"/>
  <c r="Y63" i="4" s="1"/>
  <c r="E82" i="7"/>
  <c r="E44" i="4"/>
  <c r="Y44" i="4" s="1"/>
  <c r="E51" i="4"/>
  <c r="Y51" i="4" s="1"/>
  <c r="E60" i="4"/>
  <c r="Y60" i="4" s="1"/>
  <c r="E67" i="4"/>
  <c r="Y67" i="4" s="1"/>
  <c r="E18" i="4"/>
  <c r="Y18" i="4" s="1"/>
  <c r="E75" i="4"/>
  <c r="Y75" i="4" s="1"/>
  <c r="E7" i="4"/>
  <c r="Y7" i="4" s="1"/>
  <c r="E72" i="4"/>
  <c r="Y72" i="4" s="1"/>
  <c r="E36" i="4"/>
  <c r="Y36" i="4" s="1"/>
  <c r="E70" i="4"/>
  <c r="Y70" i="4" s="1"/>
  <c r="E19" i="4"/>
  <c r="Y19" i="4" s="1"/>
  <c r="E74" i="4"/>
  <c r="Y74" i="4" s="1"/>
  <c r="M68" i="4" l="1"/>
  <c r="M74" i="4"/>
  <c r="M35" i="4"/>
  <c r="M54" i="4"/>
  <c r="M41" i="4"/>
  <c r="M8" i="4"/>
  <c r="M63" i="4"/>
  <c r="M49" i="4"/>
  <c r="M70" i="4"/>
  <c r="M82" i="4"/>
  <c r="M40" i="4"/>
  <c r="M58" i="4"/>
  <c r="M62" i="4"/>
  <c r="M37" i="4"/>
  <c r="M51" i="4"/>
  <c r="M75" i="4"/>
  <c r="M71" i="4"/>
  <c r="M42" i="4"/>
  <c r="M66" i="4"/>
  <c r="M12" i="4"/>
  <c r="M20" i="4"/>
  <c r="M73" i="4"/>
  <c r="M78" i="4"/>
  <c r="M67" i="4"/>
  <c r="M6" i="4"/>
  <c r="M34" i="4"/>
  <c r="M25" i="4"/>
  <c r="M23" i="4"/>
  <c r="M18" i="4"/>
  <c r="O81" i="4"/>
  <c r="U42" i="7"/>
  <c r="M43" i="4" s="1"/>
  <c r="G10" i="7"/>
  <c r="O70" i="4" l="1"/>
  <c r="P81" i="4"/>
  <c r="O41" i="4"/>
  <c r="O43" i="4"/>
  <c r="Q43" i="4"/>
  <c r="U10" i="7"/>
  <c r="M11" i="4" s="1"/>
  <c r="O11" i="4" l="1"/>
  <c r="Q41" i="4"/>
  <c r="Q19" i="4"/>
  <c r="Q70" i="4" l="1"/>
  <c r="AH70" i="4"/>
  <c r="AL70" i="4" s="1"/>
  <c r="AM70" i="4" s="1"/>
  <c r="B21" i="17"/>
  <c r="F21" i="17" s="1"/>
  <c r="F18" i="17"/>
  <c r="B34" i="17"/>
  <c r="B36" i="17"/>
  <c r="F32" i="17" s="1"/>
  <c r="Q11" i="4" l="1"/>
  <c r="AH11" i="4"/>
  <c r="B46" i="17"/>
  <c r="AL11" i="4" l="1"/>
  <c r="B5" i="17"/>
  <c r="AM11" i="4" l="1"/>
  <c r="D33" i="17"/>
  <c r="G76" i="7" l="1"/>
  <c r="X76" i="7" s="1"/>
  <c r="M77" i="4" s="1"/>
  <c r="G71" i="7"/>
  <c r="W71" i="7" s="1"/>
  <c r="M72" i="4" s="1"/>
  <c r="G68" i="7"/>
  <c r="G61" i="7"/>
  <c r="G53" i="7"/>
  <c r="G11" i="7"/>
  <c r="G6" i="7"/>
  <c r="G77" i="7"/>
  <c r="G72" i="7"/>
  <c r="G62" i="7"/>
  <c r="G56" i="7"/>
  <c r="U56" i="7" s="1"/>
  <c r="M57" i="4" s="1"/>
  <c r="G74" i="7"/>
  <c r="G59" i="7"/>
  <c r="G50" i="7"/>
  <c r="G41" i="7"/>
  <c r="G17" i="7"/>
  <c r="G7" i="7"/>
  <c r="G81" i="7"/>
  <c r="G73" i="7"/>
  <c r="I70" i="4"/>
  <c r="G66" i="7"/>
  <c r="G48" i="7"/>
  <c r="AA70" i="4" l="1"/>
  <c r="W59" i="7"/>
  <c r="M60" i="4" s="1"/>
  <c r="P70" i="4"/>
  <c r="AA10" i="16"/>
  <c r="V6" i="7"/>
  <c r="M7" i="4" s="1"/>
  <c r="G22" i="7"/>
  <c r="G38" i="7"/>
  <c r="G19" i="7"/>
  <c r="G23" i="7"/>
  <c r="G24" i="7"/>
  <c r="G57" i="7"/>
  <c r="G37" i="7"/>
  <c r="U37" i="7" s="1"/>
  <c r="M39" i="4" s="1"/>
  <c r="G35" i="7"/>
  <c r="G36" i="7"/>
  <c r="U36" i="7" s="1"/>
  <c r="M38" i="4" s="1"/>
  <c r="G33" i="7"/>
  <c r="G43" i="7"/>
  <c r="G34" i="7"/>
  <c r="S4" i="7"/>
  <c r="R4" i="7"/>
  <c r="E5" i="4"/>
  <c r="G65" i="7"/>
  <c r="G5" i="7"/>
  <c r="I67" i="4"/>
  <c r="I43" i="4"/>
  <c r="I34" i="4"/>
  <c r="I71" i="4"/>
  <c r="G70" i="7"/>
  <c r="I35" i="4"/>
  <c r="I38" i="4"/>
  <c r="I66" i="4"/>
  <c r="I69" i="4"/>
  <c r="I41" i="4"/>
  <c r="I73" i="4"/>
  <c r="I20" i="4"/>
  <c r="I72" i="4"/>
  <c r="I19" i="4"/>
  <c r="I49" i="4"/>
  <c r="I74" i="4"/>
  <c r="I23" i="4"/>
  <c r="I51" i="4"/>
  <c r="I75" i="4"/>
  <c r="I57" i="4"/>
  <c r="I78" i="4"/>
  <c r="I25" i="4"/>
  <c r="I54" i="4"/>
  <c r="I77" i="4"/>
  <c r="I24" i="4"/>
  <c r="I8" i="4"/>
  <c r="I39" i="4"/>
  <c r="I40" i="4"/>
  <c r="I12" i="4"/>
  <c r="I68" i="4"/>
  <c r="I11" i="4"/>
  <c r="I18" i="4"/>
  <c r="I42" i="4"/>
  <c r="I44" i="4"/>
  <c r="I58" i="4"/>
  <c r="I82" i="4"/>
  <c r="I60" i="4"/>
  <c r="I63" i="4"/>
  <c r="I7" i="4"/>
  <c r="I37" i="4"/>
  <c r="I62" i="4"/>
  <c r="I36" i="4"/>
  <c r="I6" i="4"/>
  <c r="AA41" i="4" l="1"/>
  <c r="AA11" i="4"/>
  <c r="AA19" i="4"/>
  <c r="AA43" i="4"/>
  <c r="Y5" i="4"/>
  <c r="M5" i="4"/>
  <c r="O5" i="4" s="1"/>
  <c r="P5" i="4" s="1"/>
  <c r="P43" i="4"/>
  <c r="P11" i="4"/>
  <c r="P41" i="4"/>
  <c r="O7" i="4"/>
  <c r="P7" i="4" s="1"/>
  <c r="E1" i="4"/>
  <c r="Q75" i="4"/>
  <c r="AA75" i="4" s="1"/>
  <c r="Y10" i="16"/>
  <c r="O51" i="4"/>
  <c r="P51" i="4" s="1"/>
  <c r="O42" i="4"/>
  <c r="P42" i="4" s="1"/>
  <c r="O77" i="4"/>
  <c r="P77" i="4" s="1"/>
  <c r="O57" i="4"/>
  <c r="P57" i="4" s="1"/>
  <c r="O8" i="4"/>
  <c r="P8" i="4" s="1"/>
  <c r="O12" i="4"/>
  <c r="P12" i="4" s="1"/>
  <c r="O54" i="4"/>
  <c r="P54" i="4" s="1"/>
  <c r="O62" i="4"/>
  <c r="P62" i="4" s="1"/>
  <c r="V23" i="7"/>
  <c r="M24" i="4" s="1"/>
  <c r="O73" i="4"/>
  <c r="P73" i="4" s="1"/>
  <c r="AA11" i="16"/>
  <c r="O60" i="4"/>
  <c r="P60" i="4" s="1"/>
  <c r="O68" i="4"/>
  <c r="P68" i="4" s="1"/>
  <c r="F19" i="17"/>
  <c r="D38" i="17"/>
  <c r="F38" i="17" s="1"/>
  <c r="F14" i="17"/>
  <c r="D36" i="17"/>
  <c r="F36" i="17" s="1"/>
  <c r="D34" i="17"/>
  <c r="F34" i="17" s="1"/>
  <c r="F16" i="17"/>
  <c r="D40" i="17"/>
  <c r="F40" i="17" s="1"/>
  <c r="F12" i="17"/>
  <c r="O18" i="4"/>
  <c r="P18" i="4" s="1"/>
  <c r="O82" i="4"/>
  <c r="P82" i="4" s="1"/>
  <c r="O72" i="4"/>
  <c r="P72" i="4" s="1"/>
  <c r="O78" i="4"/>
  <c r="P78" i="4" s="1"/>
  <c r="O66" i="4"/>
  <c r="P66" i="4" s="1"/>
  <c r="O75" i="4"/>
  <c r="P75" i="4" s="1"/>
  <c r="O63" i="4"/>
  <c r="P63" i="4" s="1"/>
  <c r="Y11" i="16"/>
  <c r="Z11" i="16" s="1"/>
  <c r="O49" i="4"/>
  <c r="P49" i="4" s="1"/>
  <c r="O74" i="4"/>
  <c r="P74" i="4" s="1"/>
  <c r="G67" i="7"/>
  <c r="G32" i="7"/>
  <c r="F32" i="8"/>
  <c r="F82" i="7"/>
  <c r="R70" i="4"/>
  <c r="Y83" i="4" l="1"/>
  <c r="Y1" i="4"/>
  <c r="V70" i="4"/>
  <c r="Z10" i="16"/>
  <c r="AB10" i="16" s="1"/>
  <c r="AC10" i="16" s="1"/>
  <c r="Q78" i="4"/>
  <c r="Q72" i="4"/>
  <c r="Q73" i="4"/>
  <c r="AA73" i="4" s="1"/>
  <c r="O24" i="4"/>
  <c r="P24" i="4" s="1"/>
  <c r="Q54" i="4"/>
  <c r="AA54" i="4" s="1"/>
  <c r="Q57" i="4"/>
  <c r="AA8" i="16"/>
  <c r="Y8" i="16"/>
  <c r="Z8" i="16" s="1"/>
  <c r="AA9" i="16"/>
  <c r="Y9" i="16"/>
  <c r="Z9" i="16" s="1"/>
  <c r="AB11" i="16"/>
  <c r="AC11" i="16" s="1"/>
  <c r="O39" i="4"/>
  <c r="P39" i="4" s="1"/>
  <c r="O36" i="4"/>
  <c r="P36" i="4" s="1"/>
  <c r="F23" i="17"/>
  <c r="F28" i="17" s="1"/>
  <c r="AH12" i="4"/>
  <c r="O38" i="4"/>
  <c r="P38" i="4" s="1"/>
  <c r="O44" i="4"/>
  <c r="P44" i="4" s="1"/>
  <c r="O23" i="4"/>
  <c r="P23" i="4" s="1"/>
  <c r="O20" i="4"/>
  <c r="P20" i="4" s="1"/>
  <c r="O37" i="4"/>
  <c r="P37" i="4" s="1"/>
  <c r="O71" i="4"/>
  <c r="P71" i="4" s="1"/>
  <c r="O40" i="4"/>
  <c r="P40" i="4" s="1"/>
  <c r="O69" i="4"/>
  <c r="P69" i="4" s="1"/>
  <c r="O58" i="4"/>
  <c r="P58" i="4" s="1"/>
  <c r="F42" i="17"/>
  <c r="O35" i="4"/>
  <c r="P35" i="4" s="1"/>
  <c r="O25" i="4"/>
  <c r="P25" i="4" s="1"/>
  <c r="O6" i="4"/>
  <c r="P6" i="4" s="1"/>
  <c r="R11" i="4"/>
  <c r="G82" i="7"/>
  <c r="R43" i="4"/>
  <c r="D46" i="17" l="1"/>
  <c r="F46" i="17" s="1"/>
  <c r="F48" i="17" s="1"/>
  <c r="R57" i="4"/>
  <c r="V57" i="4" s="1"/>
  <c r="AA57" i="4"/>
  <c r="R72" i="4"/>
  <c r="V72" i="4" s="1"/>
  <c r="AA72" i="4"/>
  <c r="R78" i="4"/>
  <c r="V78" i="4" s="1"/>
  <c r="AA78" i="4"/>
  <c r="V43" i="4"/>
  <c r="V11" i="4"/>
  <c r="Q82" i="4"/>
  <c r="Q81" i="4"/>
  <c r="AA81" i="4" s="1"/>
  <c r="Q68" i="4"/>
  <c r="AH49" i="4"/>
  <c r="AL49" i="4" s="1"/>
  <c r="AM49" i="4" s="1"/>
  <c r="Q49" i="4"/>
  <c r="Q77" i="4"/>
  <c r="AH10" i="16"/>
  <c r="Q7" i="4"/>
  <c r="AL12" i="4"/>
  <c r="Q42" i="4"/>
  <c r="AH42" i="4"/>
  <c r="AL42" i="4" s="1"/>
  <c r="AM42" i="4" s="1"/>
  <c r="Q60" i="4"/>
  <c r="AH60" i="4"/>
  <c r="AL60" i="4" s="1"/>
  <c r="AM60" i="4" s="1"/>
  <c r="Q18" i="4"/>
  <c r="AH18" i="4"/>
  <c r="AL18" i="4" s="1"/>
  <c r="AM18" i="4" s="1"/>
  <c r="Q74" i="4"/>
  <c r="Q66" i="4"/>
  <c r="Q39" i="4"/>
  <c r="AA39" i="4" s="1"/>
  <c r="Q51" i="4"/>
  <c r="Q23" i="4"/>
  <c r="AA23" i="4" s="1"/>
  <c r="Q25" i="4"/>
  <c r="AA25" i="4" s="1"/>
  <c r="R54" i="4"/>
  <c r="R75" i="4"/>
  <c r="R73" i="4"/>
  <c r="Q69" i="4"/>
  <c r="AA69" i="4" s="1"/>
  <c r="AB9" i="16"/>
  <c r="AC9" i="16" s="1"/>
  <c r="AH9" i="16" s="1"/>
  <c r="J93" i="4"/>
  <c r="Q63" i="4"/>
  <c r="AB8" i="16"/>
  <c r="Q8" i="4"/>
  <c r="AH11" i="16"/>
  <c r="Q71" i="4"/>
  <c r="AA71" i="4" s="1"/>
  <c r="O67" i="4"/>
  <c r="P67" i="4" s="1"/>
  <c r="Q58" i="4"/>
  <c r="AA58" i="4" s="1"/>
  <c r="Q62" i="4"/>
  <c r="Q12" i="4"/>
  <c r="O34" i="4"/>
  <c r="P34" i="4" s="1"/>
  <c r="J1" i="4"/>
  <c r="R62" i="4" l="1"/>
  <c r="V62" i="4" s="1"/>
  <c r="X62" i="4" s="1"/>
  <c r="AA62" i="4"/>
  <c r="R42" i="4"/>
  <c r="V42" i="4" s="1"/>
  <c r="X42" i="4" s="1"/>
  <c r="AA42" i="4"/>
  <c r="R7" i="4"/>
  <c r="V7" i="4" s="1"/>
  <c r="X7" i="4" s="1"/>
  <c r="AA7" i="4"/>
  <c r="R51" i="4"/>
  <c r="V51" i="4" s="1"/>
  <c r="X51" i="4" s="1"/>
  <c r="AA51" i="4"/>
  <c r="R8" i="4"/>
  <c r="V8" i="4" s="1"/>
  <c r="X8" i="4" s="1"/>
  <c r="AA8" i="4"/>
  <c r="R77" i="4"/>
  <c r="V77" i="4" s="1"/>
  <c r="X77" i="4" s="1"/>
  <c r="AA77" i="4"/>
  <c r="R82" i="4"/>
  <c r="V82" i="4" s="1"/>
  <c r="X82" i="4" s="1"/>
  <c r="AA82" i="4"/>
  <c r="R66" i="4"/>
  <c r="V66" i="4" s="1"/>
  <c r="X66" i="4" s="1"/>
  <c r="AA66" i="4"/>
  <c r="R49" i="4"/>
  <c r="V49" i="4" s="1"/>
  <c r="X49" i="4" s="1"/>
  <c r="AA49" i="4"/>
  <c r="R60" i="4"/>
  <c r="V60" i="4" s="1"/>
  <c r="X60" i="4" s="1"/>
  <c r="AA60" i="4"/>
  <c r="R12" i="4"/>
  <c r="U12" i="4" s="1"/>
  <c r="AA12" i="4"/>
  <c r="R63" i="4"/>
  <c r="V63" i="4" s="1"/>
  <c r="X63" i="4" s="1"/>
  <c r="AA63" i="4"/>
  <c r="R74" i="4"/>
  <c r="V74" i="4" s="1"/>
  <c r="AA74" i="4"/>
  <c r="R68" i="4"/>
  <c r="V68" i="4" s="1"/>
  <c r="AA68" i="4"/>
  <c r="R18" i="4"/>
  <c r="V18" i="4" s="1"/>
  <c r="X18" i="4" s="1"/>
  <c r="AA18" i="4"/>
  <c r="V75" i="4"/>
  <c r="X75" i="4" s="1"/>
  <c r="V73" i="4"/>
  <c r="V54" i="4"/>
  <c r="X54" i="4" s="1"/>
  <c r="R81" i="4"/>
  <c r="AH84" i="4"/>
  <c r="AM12" i="4"/>
  <c r="AL84" i="4"/>
  <c r="AM84" i="4" s="1"/>
  <c r="R23" i="4"/>
  <c r="Q36" i="4"/>
  <c r="AA36" i="4" s="1"/>
  <c r="Q40" i="4"/>
  <c r="Q6" i="4"/>
  <c r="AA6" i="4" s="1"/>
  <c r="Q67" i="4"/>
  <c r="AA67" i="4" s="1"/>
  <c r="AA5" i="16"/>
  <c r="R39" i="4"/>
  <c r="R71" i="4"/>
  <c r="R25" i="4"/>
  <c r="Y5" i="16"/>
  <c r="Q20" i="4"/>
  <c r="AA20" i="4" s="1"/>
  <c r="R69" i="4"/>
  <c r="Z5" i="16"/>
  <c r="Q24" i="4"/>
  <c r="AA24" i="4" s="1"/>
  <c r="R58" i="4"/>
  <c r="Q35" i="4"/>
  <c r="AA35" i="4" s="1"/>
  <c r="Q38" i="4"/>
  <c r="AA38" i="4" s="1"/>
  <c r="Q37" i="4"/>
  <c r="AA37" i="4" s="1"/>
  <c r="AC8" i="16"/>
  <c r="Q44" i="4"/>
  <c r="AA44" i="4" s="1"/>
  <c r="X70" i="4"/>
  <c r="X78" i="4"/>
  <c r="X11" i="4"/>
  <c r="X57" i="4"/>
  <c r="X43" i="4"/>
  <c r="V12" i="4" l="1"/>
  <c r="X12" i="4" s="1"/>
  <c r="R40" i="4"/>
  <c r="V40" i="4" s="1"/>
  <c r="X40" i="4" s="1"/>
  <c r="AA40" i="4"/>
  <c r="V58" i="4"/>
  <c r="X58" i="4" s="1"/>
  <c r="V39" i="4"/>
  <c r="X39" i="4" s="1"/>
  <c r="V25" i="4"/>
  <c r="X25" i="4" s="1"/>
  <c r="V69" i="4"/>
  <c r="X69" i="4" s="1"/>
  <c r="V71" i="4"/>
  <c r="X71" i="4" s="1"/>
  <c r="V23" i="4"/>
  <c r="X23" i="4" s="1"/>
  <c r="U81" i="4"/>
  <c r="V81" i="4"/>
  <c r="X81" i="4" s="1"/>
  <c r="R36" i="4"/>
  <c r="Q34" i="4"/>
  <c r="AA34" i="4" s="1"/>
  <c r="G38" i="8"/>
  <c r="H38" i="8" s="1"/>
  <c r="R6" i="4"/>
  <c r="R67" i="4"/>
  <c r="AB5" i="16"/>
  <c r="R20" i="4"/>
  <c r="Q5" i="4"/>
  <c r="AH8" i="16"/>
  <c r="AC5" i="16"/>
  <c r="R37" i="4"/>
  <c r="R35" i="4"/>
  <c r="R38" i="4"/>
  <c r="R44" i="4"/>
  <c r="R24" i="4"/>
  <c r="X73" i="4"/>
  <c r="X68" i="4"/>
  <c r="X74" i="4"/>
  <c r="X72" i="4"/>
  <c r="U66" i="4"/>
  <c r="R5" i="4" l="1"/>
  <c r="V5" i="4" s="1"/>
  <c r="X5" i="4" s="1"/>
  <c r="AA5" i="4"/>
  <c r="V37" i="4"/>
  <c r="X37" i="4" s="1"/>
  <c r="V36" i="4"/>
  <c r="X36" i="4" s="1"/>
  <c r="V38" i="4"/>
  <c r="X38" i="4" s="1"/>
  <c r="V24" i="4"/>
  <c r="X24" i="4" s="1"/>
  <c r="V67" i="4"/>
  <c r="X67" i="4" s="1"/>
  <c r="V6" i="4"/>
  <c r="X6" i="4" s="1"/>
  <c r="V35" i="4"/>
  <c r="X35" i="4" s="1"/>
  <c r="V44" i="4"/>
  <c r="X44" i="4" s="1"/>
  <c r="V20" i="4"/>
  <c r="X20" i="4" s="1"/>
  <c r="R34" i="4"/>
  <c r="AH86" i="16"/>
  <c r="Q1" i="4"/>
  <c r="U11" i="4"/>
  <c r="U18" i="7"/>
  <c r="M19" i="4" l="1"/>
  <c r="O19" i="4" s="1"/>
  <c r="V34" i="4"/>
  <c r="X34" i="4" s="1"/>
  <c r="B6" i="8"/>
  <c r="P19" i="4" l="1"/>
  <c r="R19" i="4"/>
  <c r="V19" i="4" s="1"/>
  <c r="R41" i="4"/>
  <c r="I1" i="4"/>
  <c r="V41" i="4" l="1"/>
  <c r="V83" i="4" s="1"/>
  <c r="X19" i="4"/>
  <c r="L1" i="4"/>
  <c r="X41" i="4" l="1"/>
  <c r="X83" i="4" s="1"/>
  <c r="H11" i="8"/>
  <c r="H29" i="8" s="1"/>
  <c r="H32" i="8"/>
  <c r="H36" i="8" s="1"/>
  <c r="U5" i="4" l="1"/>
  <c r="U23" i="4"/>
  <c r="U39" i="4"/>
  <c r="U60" i="4"/>
  <c r="U37" i="4"/>
  <c r="U74" i="4"/>
  <c r="U67" i="4"/>
  <c r="U82" i="4"/>
  <c r="U70" i="4"/>
  <c r="U25" i="4"/>
  <c r="U75" i="4"/>
  <c r="U57" i="4"/>
  <c r="U49" i="4"/>
  <c r="U38" i="4"/>
  <c r="U44" i="4"/>
  <c r="U71" i="4"/>
  <c r="U41" i="4"/>
  <c r="U58" i="4"/>
  <c r="U40" i="4"/>
  <c r="U6" i="4"/>
  <c r="M1" i="4"/>
  <c r="B33" i="8"/>
  <c r="U20" i="4"/>
  <c r="U62" i="4"/>
  <c r="U77" i="4"/>
  <c r="U35" i="4"/>
  <c r="U63" i="4"/>
  <c r="U68" i="4"/>
  <c r="U73" i="4"/>
  <c r="U36" i="4"/>
  <c r="U34" i="4"/>
  <c r="U51" i="4"/>
  <c r="U78" i="4"/>
  <c r="U7" i="4"/>
  <c r="U24" i="4"/>
  <c r="U18" i="4"/>
  <c r="U43" i="4"/>
  <c r="U69" i="4"/>
  <c r="U72" i="4"/>
  <c r="U8" i="4"/>
  <c r="U54" i="4"/>
  <c r="U19" i="4"/>
  <c r="O1" i="4"/>
  <c r="H40" i="8" l="1"/>
  <c r="R1" i="4" l="1"/>
  <c r="U42" i="4"/>
  <c r="U83" i="4" s="1"/>
  <c r="R83" i="4"/>
  <c r="T87" i="4" s="1"/>
  <c r="J7" i="31" l="1"/>
  <c r="K7" i="31" s="1"/>
  <c r="L7"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Adam</author>
    <author>tc={721513BC-C3B3-4C89-8977-3BE8D22734FA}</author>
  </authors>
  <commentList>
    <comment ref="E3" authorId="0" shapeId="0" xr:uid="{9B1EDC90-B9C0-4ADC-8D2E-4BBDC6620144}">
      <text>
        <r>
          <rPr>
            <b/>
            <sz val="9"/>
            <color indexed="81"/>
            <rFont val="Tahoma"/>
            <family val="2"/>
          </rPr>
          <t>Smith, Adam:</t>
        </r>
        <r>
          <rPr>
            <sz val="9"/>
            <color indexed="81"/>
            <rFont val="Tahoma"/>
            <family val="2"/>
          </rPr>
          <t xml:space="preserve">
15/10/20121 I think we need to stop rounding the APN here as we do not do it for SS and it has unintended consequences for place funding. E.g 2.083333 becomes 2.08 so we fund £12,480 rather than £12,500.</t>
        </r>
      </text>
    </comment>
    <comment ref="G3" authorId="0" shapeId="0" xr:uid="{EF4D131C-6196-47AE-8F03-EDD9AB0AB222}">
      <text>
        <r>
          <rPr>
            <b/>
            <sz val="9"/>
            <color indexed="81"/>
            <rFont val="Tahoma"/>
            <family val="2"/>
          </rPr>
          <t>Smith, Adam:</t>
        </r>
        <r>
          <rPr>
            <sz val="9"/>
            <color indexed="81"/>
            <rFont val="Tahoma"/>
            <family val="2"/>
          </rPr>
          <t xml:space="preserve">
Should equal secondary need type numbers in columns 
T-X</t>
        </r>
      </text>
    </comment>
    <comment ref="H3" authorId="0" shapeId="0" xr:uid="{9FD2EC78-80C5-4E54-B6E7-A5C81D432443}">
      <text>
        <r>
          <rPr>
            <b/>
            <sz val="9"/>
            <color indexed="81"/>
            <rFont val="Tahoma"/>
            <family val="2"/>
          </rPr>
          <t>Smith, Adam:</t>
        </r>
        <r>
          <rPr>
            <sz val="9"/>
            <color indexed="81"/>
            <rFont val="Tahoma"/>
            <family val="2"/>
          </rPr>
          <t xml:space="preserve">
Should equal secondary need type numbers in columns 
Y-AD</t>
        </r>
      </text>
    </comment>
    <comment ref="B44" authorId="1" shapeId="0" xr:uid="{721513BC-C3B3-4C89-8977-3BE8D22734FA}">
      <text>
        <t>[Threaded comment]
Your version of Excel allows you to read this threaded comment; however, any edits to it will get removed if the file is opened in a newer version of Excel. Learn more: https://go.microsoft.com/fwlink/?linkid=870924
Comment:
    @Smith, Adam (Corporate Resources, Finance) are we re-naming this following their merger with the infants? They’re now Pennington Church of England Primary School
Reply:
    Yes please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Adam</author>
  </authors>
  <commentList>
    <comment ref="I5" authorId="0" shapeId="0" xr:uid="{D0144EFA-4F13-4AAA-A423-E741F303ECAF}">
      <text>
        <r>
          <rPr>
            <b/>
            <sz val="9"/>
            <color indexed="81"/>
            <rFont val="Tahoma"/>
            <family val="2"/>
          </rPr>
          <t>Smith, Adam:</t>
        </r>
        <r>
          <rPr>
            <sz val="9"/>
            <color indexed="81"/>
            <rFont val="Tahoma"/>
            <family val="2"/>
          </rPr>
          <t xml:space="preserve">
Artificially amended APN as late change after BS, was 0.</t>
        </r>
      </text>
    </comment>
    <comment ref="I6" authorId="0" shapeId="0" xr:uid="{2173AFBC-9179-4E5D-83D5-CCE3DC0BAC4C}">
      <text>
        <r>
          <rPr>
            <b/>
            <sz val="9"/>
            <color indexed="81"/>
            <rFont val="Tahoma"/>
            <family val="2"/>
          </rPr>
          <t>Smith, Adam:</t>
        </r>
        <r>
          <rPr>
            <sz val="9"/>
            <color indexed="81"/>
            <rFont val="Tahoma"/>
            <family val="2"/>
          </rPr>
          <t xml:space="preserve">
Artificially amended APN as late change after BS, was 0.</t>
        </r>
      </text>
    </comment>
    <comment ref="I7" authorId="0" shapeId="0" xr:uid="{73960882-0FC2-495C-93FC-9258D2D621F7}">
      <text>
        <r>
          <rPr>
            <b/>
            <sz val="9"/>
            <color indexed="81"/>
            <rFont val="Tahoma"/>
            <family val="2"/>
          </rPr>
          <t>Smith, Adam:</t>
        </r>
        <r>
          <rPr>
            <sz val="9"/>
            <color indexed="81"/>
            <rFont val="Tahoma"/>
            <family val="2"/>
          </rPr>
          <t xml:space="preserve">
Artificially amended APN as late change after BS, was 24.</t>
        </r>
      </text>
    </comment>
    <comment ref="I44" authorId="0" shapeId="0" xr:uid="{F1655776-860D-4BDA-9066-8B4696D064A9}">
      <text>
        <r>
          <rPr>
            <b/>
            <sz val="9"/>
            <color indexed="81"/>
            <rFont val="Tahoma"/>
            <family val="2"/>
          </rPr>
          <t>Smith, Adam:</t>
        </r>
        <r>
          <rPr>
            <sz val="9"/>
            <color indexed="81"/>
            <rFont val="Tahoma"/>
            <family val="2"/>
          </rPr>
          <t xml:space="preserve">
Artificially amended APN as late change after BS, was 17.</t>
        </r>
      </text>
    </comment>
    <comment ref="E46" authorId="0" shapeId="0" xr:uid="{4A5A39B6-870C-4B6A-B5A2-C0790D05062A}">
      <text>
        <r>
          <rPr>
            <b/>
            <sz val="9"/>
            <color indexed="81"/>
            <rFont val="Tahoma"/>
            <family val="2"/>
          </rPr>
          <t>Smith, Adam:</t>
        </r>
        <r>
          <rPr>
            <sz val="9"/>
            <color indexed="81"/>
            <rFont val="Tahoma"/>
            <family val="2"/>
          </rPr>
          <t xml:space="preserve">
Opening September 2027?</t>
        </r>
      </text>
    </comment>
    <comment ref="H48" authorId="0" shapeId="0" xr:uid="{833364DC-8F17-49E0-9F0C-BAA8D14988B3}">
      <text>
        <r>
          <rPr>
            <b/>
            <sz val="9"/>
            <color indexed="81"/>
            <rFont val="Tahoma"/>
            <family val="2"/>
          </rPr>
          <t>Smith, Adam:</t>
        </r>
        <r>
          <rPr>
            <sz val="9"/>
            <color indexed="81"/>
            <rFont val="Tahoma"/>
            <family val="2"/>
          </rPr>
          <t xml:space="preserve">
Changed from PD-L to PD-S from April 2025</t>
        </r>
      </text>
    </comment>
    <comment ref="C76" authorId="0" shapeId="0" xr:uid="{B945BED0-E608-49AD-85CA-E578E6FEC4C6}">
      <text>
        <r>
          <rPr>
            <b/>
            <sz val="9"/>
            <color indexed="81"/>
            <rFont val="Tahoma"/>
            <family val="2"/>
          </rPr>
          <t>Smith, Adam:</t>
        </r>
        <r>
          <rPr>
            <sz val="9"/>
            <color indexed="81"/>
            <rFont val="Tahoma"/>
            <family val="2"/>
          </rPr>
          <t xml:space="preserve">
Not to be confused with St Mark's Church of England Aided Primary School 850/3501 who became an academy wef 01/09/2025. See note from Annabel Hodder 03/09/2025</t>
        </r>
      </text>
    </comment>
    <comment ref="I96" authorId="0" shapeId="0" xr:uid="{622C0D75-8F77-442D-BBB5-BCA2A2F6949B}">
      <text>
        <r>
          <rPr>
            <b/>
            <sz val="9"/>
            <color indexed="81"/>
            <rFont val="Tahoma"/>
            <family val="2"/>
          </rPr>
          <t>Smith, Adam:</t>
        </r>
        <r>
          <rPr>
            <sz val="9"/>
            <color indexed="81"/>
            <rFont val="Tahoma"/>
            <family val="2"/>
          </rPr>
          <t xml:space="preserve">
Artificially amended APN as late change after BS, was 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tc={D29C3A87-D425-4E2F-AED7-4F98D9551319}</author>
  </authors>
  <commentList>
    <comment ref="N600" authorId="0" shapeId="0" xr:uid="{D29C3A87-D425-4E2F-AED7-4F98D9551319}">
      <text>
        <t>[Threaded comment]
Your version of Excel allows you to read this threaded comment; however, any edits to it will get removed if the file is opened in a newer version of Excel. Learn more: https://go.microsoft.com/fwlink/?linkid=870924
Comment:
    @Poole, Janine, please can you check this - we wouldn't expect this need type for Ashley Junior's RP (it should either be MLD or SLCN)</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Adam</author>
  </authors>
  <commentList>
    <comment ref="AB12" authorId="0" shapeId="0" xr:uid="{F885BFAB-213B-45D8-88B7-5017F719D44E}">
      <text>
        <r>
          <rPr>
            <b/>
            <sz val="9"/>
            <color indexed="81"/>
            <rFont val="Tahoma"/>
            <family val="2"/>
          </rPr>
          <t>Smith, Adam:</t>
        </r>
        <r>
          <rPr>
            <sz val="9"/>
            <color indexed="81"/>
            <rFont val="Tahoma"/>
            <family val="2"/>
          </rPr>
          <t xml:space="preserve">
Updated APN to 32 13/03/2026 as this was a late Sep 25 APN change post BS last year</t>
        </r>
      </text>
    </comment>
    <comment ref="AC15" authorId="0" shapeId="0" xr:uid="{075B6C15-A592-44A1-B01D-2205973F7924}">
      <text>
        <r>
          <rPr>
            <b/>
            <sz val="9"/>
            <color indexed="81"/>
            <rFont val="Tahoma"/>
            <family val="2"/>
          </rPr>
          <t>Smith, Adam:</t>
        </r>
        <r>
          <rPr>
            <sz val="9"/>
            <color indexed="81"/>
            <rFont val="Tahoma"/>
            <family val="2"/>
          </rPr>
          <t xml:space="preserve">
Alread includes the juniors I suspect</t>
        </r>
      </text>
    </comment>
    <comment ref="AB17" authorId="0" shapeId="0" xr:uid="{11A0FE17-75D7-4096-B09D-A59C790A1C63}">
      <text>
        <r>
          <rPr>
            <b/>
            <sz val="9"/>
            <color indexed="81"/>
            <rFont val="Tahoma"/>
            <family val="2"/>
          </rPr>
          <t>Smith, Adam:</t>
        </r>
        <r>
          <rPr>
            <sz val="9"/>
            <color indexed="81"/>
            <rFont val="Tahoma"/>
            <family val="2"/>
          </rPr>
          <t xml:space="preserve">
Updated APN to 24 13/03/2026 as this was a late Sep 25 APN change post BS last year</t>
        </r>
      </text>
    </comment>
    <comment ref="AC25" authorId="0" shapeId="0" xr:uid="{B6194573-7079-4F72-8B3C-224153629779}">
      <text>
        <r>
          <rPr>
            <b/>
            <sz val="9"/>
            <color indexed="81"/>
            <rFont val="Tahoma"/>
            <family val="2"/>
          </rPr>
          <t>Smith, Adam:</t>
        </r>
        <r>
          <rPr>
            <sz val="9"/>
            <color indexed="81"/>
            <rFont val="Tahoma"/>
            <family val="2"/>
          </rPr>
          <t xml:space="preserve">
Alread includes the juniors I suspect</t>
        </r>
      </text>
    </comment>
    <comment ref="AF25" authorId="0" shapeId="0" xr:uid="{DBCC496A-661B-42C0-A954-344820799605}">
      <text>
        <r>
          <rPr>
            <b/>
            <sz val="9"/>
            <color indexed="81"/>
            <rFont val="Tahoma"/>
            <family val="2"/>
          </rPr>
          <t>Smith, Adam:</t>
        </r>
        <r>
          <rPr>
            <sz val="9"/>
            <color indexed="81"/>
            <rFont val="Tahoma"/>
            <family val="2"/>
          </rPr>
          <t xml:space="preserve">
As they are reducing from 12  to 6 in September 2026 there are no children joining the RP who weren't there in October 2025 so they'll have all the AWPU they need for these RP places.</t>
        </r>
      </text>
    </comment>
    <comment ref="AC29" authorId="0" shapeId="0" xr:uid="{59B19E74-FB9E-4B9F-8DD2-0026CFCCDC86}">
      <text>
        <r>
          <rPr>
            <b/>
            <sz val="9"/>
            <color indexed="81"/>
            <rFont val="Tahoma"/>
            <family val="2"/>
          </rPr>
          <t>Smith, Adam:</t>
        </r>
        <r>
          <rPr>
            <sz val="9"/>
            <color indexed="81"/>
            <rFont val="Tahoma"/>
            <family val="2"/>
          </rPr>
          <t xml:space="preserve">
Alread includes the infants I suspect</t>
        </r>
      </text>
    </comment>
    <comment ref="AB47" authorId="0" shapeId="0" xr:uid="{B878957A-EE54-4B04-825F-876C202E6991}">
      <text>
        <r>
          <rPr>
            <b/>
            <sz val="9"/>
            <color indexed="81"/>
            <rFont val="Tahoma"/>
            <family val="2"/>
          </rPr>
          <t>Smith, Adam:</t>
        </r>
        <r>
          <rPr>
            <sz val="9"/>
            <color indexed="81"/>
            <rFont val="Tahoma"/>
            <family val="2"/>
          </rPr>
          <t xml:space="preserve">
Updated APN to 21 13/03/2026 as this was a late Sep 25 APN change post BS last year</t>
        </r>
      </text>
    </comment>
    <comment ref="AK61" authorId="0" shapeId="0" xr:uid="{FFD8CD20-E8F7-4C30-AD1F-56EC6E3242C8}">
      <text>
        <r>
          <rPr>
            <b/>
            <sz val="9"/>
            <color indexed="81"/>
            <rFont val="Tahoma"/>
            <family val="2"/>
          </rPr>
          <t>Smith, Adam:</t>
        </r>
        <r>
          <rPr>
            <sz val="9"/>
            <color indexed="81"/>
            <rFont val="Tahoma"/>
            <family val="2"/>
          </rPr>
          <t xml:space="preserve">
Assume new cohort in 2025/26AY all Y7 to add to the existing 5 Y8/9s</t>
        </r>
      </text>
    </comment>
    <comment ref="Q62" authorId="0" shapeId="0" xr:uid="{4D29E619-E08A-4100-9CD3-3ABCAEEE114E}">
      <text>
        <r>
          <rPr>
            <b/>
            <sz val="9"/>
            <color indexed="81"/>
            <rFont val="Tahoma"/>
            <family val="2"/>
          </rPr>
          <t>Smith, Adam:</t>
        </r>
        <r>
          <rPr>
            <sz val="9"/>
            <color indexed="81"/>
            <rFont val="Tahoma"/>
            <family val="2"/>
          </rPr>
          <t xml:space="preserve">
Data from Jane Dooley 09/01/2026</t>
        </r>
      </text>
    </comment>
    <comment ref="AK62" authorId="0" shapeId="0" xr:uid="{3AACEBB2-C512-4C43-A76D-7EEFD3DB0E3E}">
      <text>
        <r>
          <rPr>
            <b/>
            <sz val="9"/>
            <color indexed="81"/>
            <rFont val="Tahoma"/>
            <family val="2"/>
          </rPr>
          <t>Smith, Adam:</t>
        </r>
        <r>
          <rPr>
            <sz val="9"/>
            <color indexed="81"/>
            <rFont val="Tahoma"/>
            <family val="2"/>
          </rPr>
          <t xml:space="preserve">
As per TU split</t>
        </r>
      </text>
    </comment>
    <comment ref="AK63" authorId="0" shapeId="0" xr:uid="{0F229B30-19CE-47BF-8CAE-92D790004313}">
      <text>
        <r>
          <rPr>
            <b/>
            <sz val="9"/>
            <color indexed="81"/>
            <rFont val="Tahoma"/>
            <family val="2"/>
          </rPr>
          <t>Smith, Adam:</t>
        </r>
        <r>
          <rPr>
            <sz val="9"/>
            <color indexed="81"/>
            <rFont val="Tahoma"/>
            <family val="2"/>
          </rPr>
          <t xml:space="preserve">
As per TU split</t>
        </r>
      </text>
    </comment>
    <comment ref="J69" authorId="0" shapeId="0" xr:uid="{8FD43749-7CEA-4F44-98F4-C01F7180E4B5}">
      <text>
        <r>
          <rPr>
            <b/>
            <sz val="9"/>
            <color indexed="81"/>
            <rFont val="Tahoma"/>
            <family val="2"/>
          </rPr>
          <t>Smith, Adam:</t>
        </r>
        <r>
          <rPr>
            <sz val="9"/>
            <color indexed="81"/>
            <rFont val="Tahoma"/>
            <family val="2"/>
          </rPr>
          <t xml:space="preserve">
Data from Jane Dooley 09/01/2026</t>
        </r>
      </text>
    </comment>
    <comment ref="K69" authorId="0" shapeId="0" xr:uid="{C7009356-4B4C-4B15-AB9C-BA848A8300CC}">
      <text>
        <r>
          <rPr>
            <b/>
            <sz val="9"/>
            <color indexed="81"/>
            <rFont val="Tahoma"/>
            <family val="2"/>
          </rPr>
          <t>Smith, Adam:</t>
        </r>
        <r>
          <rPr>
            <sz val="9"/>
            <color indexed="81"/>
            <rFont val="Tahoma"/>
            <family val="2"/>
          </rPr>
          <t xml:space="preserve">
Data from Jane Dooley 09/01/2026</t>
        </r>
      </text>
    </comment>
    <comment ref="L69" authorId="0" shapeId="0" xr:uid="{5F39A5A9-D20B-4696-BEF5-D2DFEF305D1C}">
      <text>
        <r>
          <rPr>
            <b/>
            <sz val="9"/>
            <color indexed="81"/>
            <rFont val="Tahoma"/>
            <family val="2"/>
          </rPr>
          <t>Smith, Adam:</t>
        </r>
        <r>
          <rPr>
            <sz val="9"/>
            <color indexed="81"/>
            <rFont val="Tahoma"/>
            <family val="2"/>
          </rPr>
          <t xml:space="preserve">
Data from Jane Dooley 09/01/2026</t>
        </r>
      </text>
    </comment>
    <comment ref="M71" authorId="0" shapeId="0" xr:uid="{F941216A-84B7-4A6F-BF8B-A3BE7A62DDC3}">
      <text>
        <r>
          <rPr>
            <b/>
            <sz val="9"/>
            <color indexed="81"/>
            <rFont val="Tahoma"/>
            <family val="2"/>
          </rPr>
          <t>Smith, Adam:</t>
        </r>
        <r>
          <rPr>
            <sz val="9"/>
            <color indexed="81"/>
            <rFont val="Tahoma"/>
            <family val="2"/>
          </rPr>
          <t xml:space="preserve">
Data from Jane Dooley 09/01/2026</t>
        </r>
      </text>
    </comment>
    <comment ref="AK72" authorId="0" shapeId="0" xr:uid="{58866252-266B-4D3D-ABA7-4AD53C108FF3}">
      <text>
        <r>
          <rPr>
            <b/>
            <sz val="9"/>
            <color indexed="81"/>
            <rFont val="Tahoma"/>
            <family val="2"/>
          </rPr>
          <t>Smith, Adam:</t>
        </r>
        <r>
          <rPr>
            <sz val="9"/>
            <color indexed="81"/>
            <rFont val="Tahoma"/>
            <family val="2"/>
          </rPr>
          <t xml:space="preserve">
As per TU split</t>
        </r>
      </text>
    </comment>
    <comment ref="M73" authorId="0" shapeId="0" xr:uid="{51B9C22A-1C06-4A59-9055-43057BB0702C}">
      <text>
        <r>
          <rPr>
            <b/>
            <sz val="9"/>
            <color indexed="81"/>
            <rFont val="Tahoma"/>
            <family val="2"/>
          </rPr>
          <t>Smith, Adam:</t>
        </r>
        <r>
          <rPr>
            <sz val="9"/>
            <color indexed="81"/>
            <rFont val="Tahoma"/>
            <family val="2"/>
          </rPr>
          <t xml:space="preserve">
Data from Jane Dooley 09/01/2026</t>
        </r>
      </text>
    </comment>
    <comment ref="AK74" authorId="0" shapeId="0" xr:uid="{B8C77550-DF76-49FC-94A9-7556D08A01F7}">
      <text>
        <r>
          <rPr>
            <b/>
            <sz val="9"/>
            <color indexed="81"/>
            <rFont val="Tahoma"/>
            <family val="2"/>
          </rPr>
          <t>Smith, Adam:</t>
        </r>
        <r>
          <rPr>
            <sz val="9"/>
            <color indexed="81"/>
            <rFont val="Tahoma"/>
            <family val="2"/>
          </rPr>
          <t xml:space="preserve">
As per TU split</t>
        </r>
      </text>
    </comment>
    <comment ref="M75" authorId="0" shapeId="0" xr:uid="{A0AF3F00-E48C-456C-BA46-968910ED1985}">
      <text>
        <r>
          <rPr>
            <b/>
            <sz val="9"/>
            <color indexed="81"/>
            <rFont val="Tahoma"/>
            <family val="2"/>
          </rPr>
          <t>Smith, Adam:</t>
        </r>
        <r>
          <rPr>
            <sz val="9"/>
            <color indexed="81"/>
            <rFont val="Tahoma"/>
            <family val="2"/>
          </rPr>
          <t xml:space="preserve">
Data from Jane Dooley 09/01/2026</t>
        </r>
      </text>
    </comment>
    <comment ref="M77" authorId="0" shapeId="0" xr:uid="{63673788-3757-4C75-BFD6-9D93BAA0A0DC}">
      <text>
        <r>
          <rPr>
            <b/>
            <sz val="9"/>
            <color indexed="81"/>
            <rFont val="Tahoma"/>
            <family val="2"/>
          </rPr>
          <t>Smith, Adam:</t>
        </r>
        <r>
          <rPr>
            <sz val="9"/>
            <color indexed="81"/>
            <rFont val="Tahoma"/>
            <family val="2"/>
          </rPr>
          <t xml:space="preserve">
Data from Jane Dooley 09/01/2026</t>
        </r>
      </text>
    </comment>
    <comment ref="N77" authorId="0" shapeId="0" xr:uid="{1189FD69-A2A2-4DD9-AE65-2A0709AD349C}">
      <text>
        <r>
          <rPr>
            <b/>
            <sz val="9"/>
            <color indexed="81"/>
            <rFont val="Tahoma"/>
            <family val="2"/>
          </rPr>
          <t>Smith, Adam:</t>
        </r>
        <r>
          <rPr>
            <sz val="9"/>
            <color indexed="81"/>
            <rFont val="Tahoma"/>
            <family val="2"/>
          </rPr>
          <t xml:space="preserve">
Data from Jane Dooley 09/01/2026</t>
        </r>
      </text>
    </comment>
    <comment ref="O77" authorId="0" shapeId="0" xr:uid="{E2BF43AD-0C25-43DE-8AE1-33993C188B43}">
      <text>
        <r>
          <rPr>
            <b/>
            <sz val="9"/>
            <color indexed="81"/>
            <rFont val="Tahoma"/>
            <family val="2"/>
          </rPr>
          <t>Smith, Adam:</t>
        </r>
        <r>
          <rPr>
            <sz val="9"/>
            <color indexed="81"/>
            <rFont val="Tahoma"/>
            <family val="2"/>
          </rPr>
          <t xml:space="preserve">
Data from Jane Dooley 09/01/2026</t>
        </r>
      </text>
    </comment>
    <comment ref="P77" authorId="0" shapeId="0" xr:uid="{B142ED53-CE95-4D3C-B0C9-BFCB1C7743BA}">
      <text>
        <r>
          <rPr>
            <b/>
            <sz val="9"/>
            <color indexed="81"/>
            <rFont val="Tahoma"/>
            <family val="2"/>
          </rPr>
          <t>Smith, Adam:</t>
        </r>
        <r>
          <rPr>
            <sz val="9"/>
            <color indexed="81"/>
            <rFont val="Tahoma"/>
            <family val="2"/>
          </rPr>
          <t xml:space="preserve">
Data from Jane Dooley 09/01/2026</t>
        </r>
      </text>
    </comment>
    <comment ref="M81" authorId="0" shapeId="0" xr:uid="{E39CE8AF-A1D0-437B-9078-B7A4091AA503}">
      <text>
        <r>
          <rPr>
            <b/>
            <sz val="9"/>
            <color indexed="81"/>
            <rFont val="Tahoma"/>
            <family val="2"/>
          </rPr>
          <t>Smith, Adam:</t>
        </r>
        <r>
          <rPr>
            <sz val="9"/>
            <color indexed="81"/>
            <rFont val="Tahoma"/>
            <family val="2"/>
          </rPr>
          <t xml:space="preserve">
Data from Jane Dooley 09/01/2026</t>
        </r>
      </text>
    </comment>
    <comment ref="J82" authorId="0" shapeId="0" xr:uid="{1A0584AE-C0C3-4EA6-8B20-D7AC0007BB5D}">
      <text>
        <r>
          <rPr>
            <b/>
            <sz val="9"/>
            <color indexed="81"/>
            <rFont val="Tahoma"/>
            <family val="2"/>
          </rPr>
          <t>Smith, Adam:</t>
        </r>
        <r>
          <rPr>
            <sz val="9"/>
            <color indexed="81"/>
            <rFont val="Tahoma"/>
            <family val="2"/>
          </rPr>
          <t xml:space="preserve">
Data from Jane Dooley 09/01/2026</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<sst xmlns="http://schemas.openxmlformats.org/spreadsheetml/2006/main" count="5499" uniqueCount="569">
  <si>
    <t>Ashley Infant School</t>
  </si>
  <si>
    <t>Great Binfields Primary School</t>
  </si>
  <si>
    <t>South View Junior School</t>
  </si>
  <si>
    <t>Stoke Park Infant School</t>
  </si>
  <si>
    <t>St Columba Church of England Primary Academy</t>
  </si>
  <si>
    <t>Wildground Infant School</t>
  </si>
  <si>
    <t>Cherbourg Primary School</t>
  </si>
  <si>
    <t>Wallisdean Junior School</t>
  </si>
  <si>
    <t>Trosnant Junior School</t>
  </si>
  <si>
    <t>Tiptoe Primary School</t>
  </si>
  <si>
    <t>LISS INFANT SCHOOL</t>
  </si>
  <si>
    <t>Liss Junior School</t>
  </si>
  <si>
    <t>Vigo Primary School</t>
  </si>
  <si>
    <t>South View Infant and Nursery School</t>
  </si>
  <si>
    <t>Hiltingbury Infant School</t>
  </si>
  <si>
    <t>Kings Copse Primary School</t>
  </si>
  <si>
    <t>Shakespeare Junior School</t>
  </si>
  <si>
    <t>Manor Junior School</t>
  </si>
  <si>
    <t>South Farnborough Junior School</t>
  </si>
  <si>
    <t>Guillemont Junior School</t>
  </si>
  <si>
    <t>Pinewood Infant School</t>
  </si>
  <si>
    <t>Park View Primary School</t>
  </si>
  <si>
    <t>Morelands Primary School</t>
  </si>
  <si>
    <t>Bedenham Primary School</t>
  </si>
  <si>
    <t>Holbrook Primary School</t>
  </si>
  <si>
    <t>Medstead Church Of England Primary School</t>
  </si>
  <si>
    <t>St Mark's Church Of England Primary School</t>
  </si>
  <si>
    <t>Eggar's School</t>
  </si>
  <si>
    <t>Mill Chase Academy</t>
  </si>
  <si>
    <t>Cowplain Community School</t>
  </si>
  <si>
    <t>The Toynbee School</t>
  </si>
  <si>
    <t>Noadswood Academy</t>
  </si>
  <si>
    <t>Portchester Community School</t>
  </si>
  <si>
    <t>The Romsey Academy</t>
  </si>
  <si>
    <t>Horndean Technology College</t>
  </si>
  <si>
    <t>Henry Beaufort School</t>
  </si>
  <si>
    <t>The Vyne Community School</t>
  </si>
  <si>
    <t>Cranbourne School</t>
  </si>
  <si>
    <t>Crestwood College for Business and Enterprise</t>
  </si>
  <si>
    <t>Cove School</t>
  </si>
  <si>
    <t>The Wavell School</t>
  </si>
  <si>
    <t>Fareham Academy</t>
  </si>
  <si>
    <t>Kings' School</t>
  </si>
  <si>
    <t>Robert May's School</t>
  </si>
  <si>
    <t>Ashley Junior School</t>
  </si>
  <si>
    <t>Crofton School</t>
  </si>
  <si>
    <t>Applemore College</t>
  </si>
  <si>
    <t xml:space="preserve">Please enter school's 7 digit number (850XXXX) : </t>
  </si>
  <si>
    <t>2026/27 Resourced Provision</t>
  </si>
  <si>
    <t xml:space="preserve">            April 2026 to March 2027</t>
  </si>
  <si>
    <t>Phase &amp; Need Type:</t>
  </si>
  <si>
    <t>Resourced Provision Place Funding</t>
  </si>
  <si>
    <t>No. of Places Used for Calculation</t>
  </si>
  <si>
    <t>Unit Value (£)</t>
  </si>
  <si>
    <t>Amount (£)</t>
  </si>
  <si>
    <t>Academic year 2025/26 (5/12)</t>
  </si>
  <si>
    <t>Academic year 2026/27 (7/12)</t>
  </si>
  <si>
    <t>High Needs Additional Funding for 2026/27</t>
  </si>
  <si>
    <t>Legacy Funding for 2026/27</t>
  </si>
  <si>
    <t>Total Resourced Provision Budget Share 2026/27 (G/L Codes 7696, 7697)</t>
  </si>
  <si>
    <t>Indicative Top-Up Funding (based on Autumn term 2025)</t>
  </si>
  <si>
    <t>i)</t>
  </si>
  <si>
    <t>Total Indicative Pupil Needs Top-Up Funding</t>
  </si>
  <si>
    <t>Minimum Funding Guarantee</t>
  </si>
  <si>
    <t>Total Indicative Top-Up Funding 2026/27 (G/L Code 7691)</t>
  </si>
  <si>
    <t>2026/27 MFG Calculator</t>
  </si>
  <si>
    <t>Resourced Provisions</t>
  </si>
  <si>
    <t>DfE</t>
  </si>
  <si>
    <t>School Name</t>
  </si>
  <si>
    <t>Phase</t>
  </si>
  <si>
    <t>2025/26 Rates</t>
  </si>
  <si>
    <t>No. of Pupils</t>
  </si>
  <si>
    <t>Funding (£)</t>
  </si>
  <si>
    <t>Place funding</t>
  </si>
  <si>
    <t>Need Type</t>
  </si>
  <si>
    <t>Need Type 2</t>
  </si>
  <si>
    <t>Need Type 3</t>
  </si>
  <si>
    <t>Signers</t>
  </si>
  <si>
    <t>Tactile Learners</t>
  </si>
  <si>
    <t>MFG</t>
  </si>
  <si>
    <t>Total Place &amp; Top-up 2025/26 Rates</t>
  </si>
  <si>
    <t xml:space="preserve">MFG is set at 0% of overall funding, assuming the number and type </t>
  </si>
  <si>
    <t>of places remains the same between 2025/26 and 2026/27</t>
  </si>
  <si>
    <t>MFG level for 2026/27 (2025/26 Total Place &amp; Top-up Rates x 100%)</t>
  </si>
  <si>
    <t>To calculate MFG per pupil for 2026/27:</t>
  </si>
  <si>
    <t>Assume same profile of 2025/26 pupils</t>
  </si>
  <si>
    <t>Signers or Tactile Learners</t>
  </si>
  <si>
    <t>Place &amp; Top-up 2026/27</t>
  </si>
  <si>
    <t>If below MFG level, provide additional funding</t>
  </si>
  <si>
    <t>Total Place &amp; Top-up 2026/27 to ensure at MFG level</t>
  </si>
  <si>
    <t>Need type 2</t>
  </si>
  <si>
    <t>Need type 3</t>
  </si>
  <si>
    <t>Tactile</t>
  </si>
  <si>
    <t>2022/23 Top-up Rate</t>
  </si>
  <si>
    <t>Hampshire Pupils Autumn 
2022</t>
  </si>
  <si>
    <t>Annual Top-up Based on Hampshire Pupils Autumn 2022</t>
  </si>
  <si>
    <t>2022/23 Average Top-up Rate</t>
  </si>
  <si>
    <t>2022/23 Place Funding Rate</t>
  </si>
  <si>
    <t>2023/24 APN</t>
  </si>
  <si>
    <t>Baseline for Additional Funding</t>
  </si>
  <si>
    <t>High Needs Additional Funding for 2023/24</t>
  </si>
  <si>
    <t>a</t>
  </si>
  <si>
    <t>b</t>
  </si>
  <si>
    <t>a * b = c</t>
  </si>
  <si>
    <t>C/B = d</t>
  </si>
  <si>
    <t>e</t>
  </si>
  <si>
    <t>f</t>
  </si>
  <si>
    <t>(d+e)*f 
= g</t>
  </si>
  <si>
    <t>g*3.4%</t>
  </si>
  <si>
    <t>TOTAL</t>
  </si>
  <si>
    <t>Dfe No</t>
  </si>
  <si>
    <t>SCH</t>
  </si>
  <si>
    <t>School type</t>
  </si>
  <si>
    <t>APN FY</t>
  </si>
  <si>
    <t>Need type</t>
  </si>
  <si>
    <t>Place Funding</t>
  </si>
  <si>
    <t>Additional Place Funding - Unoccupied</t>
  </si>
  <si>
    <t>Legacy Funding</t>
  </si>
  <si>
    <t>Need Type 1</t>
  </si>
  <si>
    <t>Need Type 2 (VI, HI, NA, ASD, SLCN, SEMH)</t>
  </si>
  <si>
    <t>Total funding</t>
  </si>
  <si>
    <t>Total per pupil funding</t>
  </si>
  <si>
    <t>Total Indicative Funding</t>
  </si>
  <si>
    <t>2025/26 Total Indicative Funding</t>
  </si>
  <si>
    <t>Variance 2025/26 to 2026/27</t>
  </si>
  <si>
    <t>2026/27 Indicative funding per place</t>
  </si>
  <si>
    <t>2025/26 Indicative funding per place</t>
  </si>
  <si>
    <t>Variance 2024/25 to 2025/26</t>
  </si>
  <si>
    <t>HNAF 2026/27</t>
  </si>
  <si>
    <t>MFG/ pupil</t>
  </si>
  <si>
    <t>SEMH</t>
  </si>
  <si>
    <t>2023/24 FY APN</t>
  </si>
  <si>
    <t>Unoccupied funding or AWPU</t>
  </si>
  <si>
    <t>SEMH Top-up</t>
  </si>
  <si>
    <t>HNAF</t>
  </si>
  <si>
    <t>LSA Discretionary RP</t>
  </si>
  <si>
    <t>LSA Discretionary (not RP?)</t>
  </si>
  <si>
    <t>Total Funding</t>
  </si>
  <si>
    <t>Average Funding</t>
  </si>
  <si>
    <t>March 2023 Balance</t>
  </si>
  <si>
    <t>March 2022 Balance</t>
  </si>
  <si>
    <t>ASC</t>
  </si>
  <si>
    <t>SLCN</t>
  </si>
  <si>
    <t>MLD</t>
  </si>
  <si>
    <t>Sun Hill Junior School</t>
  </si>
  <si>
    <t>Crofton Anne Dale Junior School</t>
  </si>
  <si>
    <t>Wildground Infant Shool</t>
  </si>
  <si>
    <t>Yes</t>
  </si>
  <si>
    <t>Hounsome Fields Primary School</t>
  </si>
  <si>
    <t>Fair Oak Infant School</t>
  </si>
  <si>
    <t>Stanhope Primary School</t>
  </si>
  <si>
    <t>Newlands Primary Academy</t>
  </si>
  <si>
    <t>Hamble Primary School</t>
  </si>
  <si>
    <t>Tadley Community Primary School</t>
  </si>
  <si>
    <t>Stanmore Primary School</t>
  </si>
  <si>
    <t>Poulner Junior School</t>
  </si>
  <si>
    <t>Fleet Infant School</t>
  </si>
  <si>
    <t>Castle Hill Primary School</t>
  </si>
  <si>
    <t>Hiltingbury Junior School</t>
  </si>
  <si>
    <t>Liss Infant School</t>
  </si>
  <si>
    <t>Poulner Infant School and Nursery</t>
  </si>
  <si>
    <t>Castle Hill Infant School</t>
  </si>
  <si>
    <t>Velmead Junior School</t>
  </si>
  <si>
    <t>Pennington Church of England Primary School</t>
  </si>
  <si>
    <t>Newtown Church of England (VC) Primary School</t>
  </si>
  <si>
    <t>Bartley Church of England Junior School</t>
  </si>
  <si>
    <t>St Judes Catholic Primary School</t>
  </si>
  <si>
    <t>Cadland Primary School</t>
  </si>
  <si>
    <t>Bridgemary School</t>
  </si>
  <si>
    <t>Lift New Forest</t>
  </si>
  <si>
    <t>Oakmoor School (previously Mill Chase Academy)</t>
  </si>
  <si>
    <t>Deer Park School</t>
  </si>
  <si>
    <t>Danebury School</t>
  </si>
  <si>
    <t>The Hamble School</t>
  </si>
  <si>
    <t>Perins School</t>
  </si>
  <si>
    <t>Crookhorn College</t>
  </si>
  <si>
    <t>Harrow Way Community School</t>
  </si>
  <si>
    <t>Crestwood Community School</t>
  </si>
  <si>
    <t>Blackfield Primary School</t>
  </si>
  <si>
    <t>Testwood School</t>
  </si>
  <si>
    <t>King's Academy Bay House</t>
  </si>
  <si>
    <t>Cams Hill School</t>
  </si>
  <si>
    <t>TOAL SEMH</t>
  </si>
  <si>
    <t>Average cost of a place for sufficiency reports, including new additional HN funding):</t>
  </si>
  <si>
    <t>Figures for S251 budget apportionment</t>
  </si>
  <si>
    <t>Primary</t>
  </si>
  <si>
    <t>Maintained</t>
  </si>
  <si>
    <t>Secondary</t>
  </si>
  <si>
    <t>Academy</t>
  </si>
  <si>
    <t xml:space="preserve">Secondary </t>
  </si>
  <si>
    <t>RAW DATA TAKEN FROM DECEMBER RP MAIN TOP UP SPREADSHEET</t>
  </si>
  <si>
    <t>VI = Tactile Learner, 
HI = Signers</t>
  </si>
  <si>
    <t>Total 25/26 AY places</t>
  </si>
  <si>
    <t>Total 26/27 AY places</t>
  </si>
  <si>
    <t>2026/27 FY APN</t>
  </si>
  <si>
    <t>APN numbers for Top-up #1</t>
  </si>
  <si>
    <t>APN numbers for Top-up #2</t>
  </si>
  <si>
    <t>APN numbers for Top-up #3</t>
  </si>
  <si>
    <t>Primary Need Type</t>
  </si>
  <si>
    <t>Academy Indicator</t>
  </si>
  <si>
    <t>Autumn Pupil Numbers</t>
  </si>
  <si>
    <t>Tactile Learners
VI</t>
  </si>
  <si>
    <t>Signers
HI</t>
  </si>
  <si>
    <t>Oakmore</t>
  </si>
  <si>
    <t>Other Funding Indicator</t>
  </si>
  <si>
    <t>No of Tactile Learners</t>
  </si>
  <si>
    <t>No of Signers</t>
  </si>
  <si>
    <t>No of NA</t>
  </si>
  <si>
    <t>No of ASC</t>
  </si>
  <si>
    <t>No of MLD</t>
  </si>
  <si>
    <t>No of SEMH</t>
  </si>
  <si>
    <t>No of SLCN</t>
  </si>
  <si>
    <t>PRI</t>
  </si>
  <si>
    <t>SLD</t>
  </si>
  <si>
    <t>VI</t>
  </si>
  <si>
    <t>HI</t>
  </si>
  <si>
    <t>Bartley Church Of England Junior School</t>
  </si>
  <si>
    <t>SEC</t>
  </si>
  <si>
    <t>SpLD</t>
  </si>
  <si>
    <t>The Cowplain School</t>
  </si>
  <si>
    <t>PD - S</t>
  </si>
  <si>
    <t>PD - L</t>
  </si>
  <si>
    <t>HNAF Rate</t>
  </si>
  <si>
    <t>Pennington Junior School</t>
  </si>
  <si>
    <t> Final agreed APN  </t>
  </si>
  <si>
    <t>DfE No.</t>
  </si>
  <si>
    <t>Establishment name</t>
  </si>
  <si>
    <t>Category</t>
  </si>
  <si>
    <t>Status 2025/26 AY</t>
  </si>
  <si>
    <t>Age Range</t>
  </si>
  <si>
    <t xml:space="preserve">AY 2025/26 Final 
Agreed 
APN </t>
  </si>
  <si>
    <t xml:space="preserve">AY 2026/27 Final 
Agreed 
APN </t>
  </si>
  <si>
    <t>FY 2025/26 Final Agreed APN</t>
  </si>
  <si>
    <t>FY 2026/27 Final Agreed APN</t>
  </si>
  <si>
    <t>HNAF Rate if not found</t>
  </si>
  <si>
    <t>HNAF Rate PP 2026/27</t>
  </si>
  <si>
    <t>APPLEMORE COLLEGE</t>
  </si>
  <si>
    <t>Opening this year</t>
  </si>
  <si>
    <t>11-16</t>
  </si>
  <si>
    <t>Open</t>
  </si>
  <si>
    <t>SPLD</t>
  </si>
  <si>
    <t>ASHLEY INFANT SCHOOL</t>
  </si>
  <si>
    <t>INF</t>
  </si>
  <si>
    <t>5-7</t>
  </si>
  <si>
    <t>ASHLEY JUNIOR SCHOOL</t>
  </si>
  <si>
    <t>JUN</t>
  </si>
  <si>
    <t>7-11</t>
  </si>
  <si>
    <t>BARTLEY CHURCH OF ENGLAND JUNIOR SCHOOL</t>
  </si>
  <si>
    <t>BEDENHAM PRIMARY SCHOOL</t>
  </si>
  <si>
    <t>4-11</t>
  </si>
  <si>
    <t>BLACKFIELD PRIMARY SCHOOL</t>
  </si>
  <si>
    <t>On hold</t>
  </si>
  <si>
    <t>BRIDGEMARY SCHOOL</t>
  </si>
  <si>
    <t>Opening next year</t>
  </si>
  <si>
    <t>not found!</t>
  </si>
  <si>
    <t>CADLAND PRIMARY SCHOOL</t>
  </si>
  <si>
    <t>CAMS HILL SCHOOL</t>
  </si>
  <si>
    <t>CASTLE HILL INFANT SCHOOL</t>
  </si>
  <si>
    <t>4-7</t>
  </si>
  <si>
    <t>CASTLE HILL PRIMARY SCHOOL</t>
  </si>
  <si>
    <t>CHERBOURG PRIMARY SCHOOL</t>
  </si>
  <si>
    <t>COVE SCHOOL</t>
  </si>
  <si>
    <t>COWPLAIN COMMUNITY SCHOOL</t>
  </si>
  <si>
    <t>CRANBOURNE BUSINESS AND ENTERPRISE COLLEGE</t>
  </si>
  <si>
    <t>CRESTWOOD COMMUNITY SCHOOL</t>
  </si>
  <si>
    <t>CROFTON ANNE DALE JUNIOR SCHOOL</t>
  </si>
  <si>
    <t>CROFTON SCHOOL</t>
  </si>
  <si>
    <t>CROOKHORN COLLEGE</t>
  </si>
  <si>
    <t>DANEBURY SCHOOL</t>
  </si>
  <si>
    <t>DEER PARK SCHOOL</t>
  </si>
  <si>
    <t>EGGAR'S SCHOOL</t>
  </si>
  <si>
    <t>FAIR OAK INFANTS SCHOOL</t>
  </si>
  <si>
    <t>FLEET INFANT SCHOOL</t>
  </si>
  <si>
    <t>GREAT BINFIELDS PRIMARY SCHOOL</t>
  </si>
  <si>
    <t>GUILLEMONT JUNIOR SCHOOL</t>
  </si>
  <si>
    <t>HAMBLE PRIMARY SCHOOL</t>
  </si>
  <si>
    <t>HARROW WAY COMMUNITY SCHOOL</t>
  </si>
  <si>
    <t>HENRY BEAUFORT SCHOOL</t>
  </si>
  <si>
    <t>HILTINGBURY INFANT SCHOOL</t>
  </si>
  <si>
    <t>HILTINGBURY JUNIOR SCHOOL</t>
  </si>
  <si>
    <t>HOLBROOK PRIMARY SCHOOL</t>
  </si>
  <si>
    <t>Closing next year</t>
  </si>
  <si>
    <t>HORNDEAN TECHNOLOGY COLLEGE</t>
  </si>
  <si>
    <t>HOUNSOME FIELDS PRIMARY</t>
  </si>
  <si>
    <t>KING'S ACADEMY BAY HOUSE</t>
  </si>
  <si>
    <t>KINGS COPSE PRIMARY SCHOOL</t>
  </si>
  <si>
    <t>KINGS' SCHOOL</t>
  </si>
  <si>
    <t>LISS JUNIOR SCHOOL</t>
  </si>
  <si>
    <t>MANOR JUNIOR SCHOOL</t>
  </si>
  <si>
    <t>5-11</t>
  </si>
  <si>
    <t>MEDSTEAD CHURCH OF ENGLAND PRIMARY SCHOOL</t>
  </si>
  <si>
    <t>MORELANDS PRIMARY SCHOOL</t>
  </si>
  <si>
    <t>NEWLANDS PRIMARY ACADEMY</t>
  </si>
  <si>
    <t>NEWTOWN CHURCH OF ENGLAND VOLUNTARY CONTROLLED PRIMARY SCHOOL</t>
  </si>
  <si>
    <t>NOADSWOOD SCHOOL</t>
  </si>
  <si>
    <t>OAKMOOR SCHOOL</t>
  </si>
  <si>
    <t>PARK VIEW PRIMARY SCHOOL</t>
  </si>
  <si>
    <t>PENNINGTON C OF E PRIMARY SCHOOL</t>
  </si>
  <si>
    <t>PERINS SCHOOL</t>
  </si>
  <si>
    <t>PINEWOOD INFANT SCHOOL</t>
  </si>
  <si>
    <t>PORTCHESTER COMMUNITY SCHOOL</t>
  </si>
  <si>
    <t>POULNER INFANT SCHOOL AND NURSERY</t>
  </si>
  <si>
    <t>POULNER JUNIOR SCHOOL</t>
  </si>
  <si>
    <t>ROBERT MAY'S SCHOOL</t>
  </si>
  <si>
    <t>SHAKESPEARE JUNIOR SCHOOL</t>
  </si>
  <si>
    <t>SOUTH FARNBOROUGH JUNIOR SCHOOL</t>
  </si>
  <si>
    <t>SOUTH VIEW INFANT AND NURSERY SCHOOL</t>
  </si>
  <si>
    <t>3-7</t>
  </si>
  <si>
    <t>SOUTH VIEW JUNIOR SCHOOL</t>
  </si>
  <si>
    <t>ST JUDES CATHOLIC PRIMARY SCHOOL</t>
  </si>
  <si>
    <t>2-11</t>
  </si>
  <si>
    <t>ST MARK'S CHURCH OF ENGLAND PRIMARY SCHOOL</t>
  </si>
  <si>
    <t>STANHOPE PRIMARY SCHOOL</t>
  </si>
  <si>
    <t>STANMORE PRIMARY SCHOOL</t>
  </si>
  <si>
    <t>STOKE PARK INFANT SCHOOL</t>
  </si>
  <si>
    <t>SUN HILL JUNIOR SCHOOL</t>
  </si>
  <si>
    <t>TADLEY COMMUNITY PRIMARY SCHOOL</t>
  </si>
  <si>
    <t>TESTWOOD SCHOOL</t>
  </si>
  <si>
    <t>THE FAREHAM ACADEMY</t>
  </si>
  <si>
    <t>THE HAMBLE SCHOOL</t>
  </si>
  <si>
    <t>LIFT NEW FOREST</t>
  </si>
  <si>
    <t>THE ROMSEY SCHOOL</t>
  </si>
  <si>
    <t>THE TOYNBEE SCHOOL</t>
  </si>
  <si>
    <t>THE VYNE COMMUNITY SCHOOL</t>
  </si>
  <si>
    <t>THE WAVELL SCHOOL</t>
  </si>
  <si>
    <t>TIPTOE PRIMARY SCHOOL</t>
  </si>
  <si>
    <t>TROSNANT JUNIOR SCHOOL</t>
  </si>
  <si>
    <t>VELMEAD JUNIOR SCHOOL</t>
  </si>
  <si>
    <t>VIGO PRIMARY SCHOOL</t>
  </si>
  <si>
    <t>WILDGROUND INFANT SCHOOL</t>
  </si>
  <si>
    <t>Grand Total</t>
  </si>
  <si>
    <t>THE BURGATE SCHOOL AND SIXTH FORM</t>
  </si>
  <si>
    <t>Sixth Form</t>
  </si>
  <si>
    <t>Closed</t>
  </si>
  <si>
    <t>11-18</t>
  </si>
  <si>
    <t>Unknown</t>
  </si>
  <si>
    <t>ST COLUMBA CHURCH OF ENGLAND PRIMARY ACADEMY</t>
  </si>
  <si>
    <t>NA</t>
  </si>
  <si>
    <t>Values 2026/27</t>
  </si>
  <si>
    <t>Values 2025/26</t>
  </si>
  <si>
    <t>Values 2024/25</t>
  </si>
  <si>
    <t>Values 2023/24</t>
  </si>
  <si>
    <t>Values 2022/23</t>
  </si>
  <si>
    <t>Values 2021/22</t>
  </si>
  <si>
    <t>2.1% plus 2.1% of place funding (a further £126)</t>
  </si>
  <si>
    <t>2.5% plus 2.5% of place funding (a further £150)</t>
  </si>
  <si>
    <t>1.4% plus 1.4% of place funding (a further £84)</t>
  </si>
  <si>
    <t>1.9% plus 1.9% of place funding (a further £114)</t>
  </si>
  <si>
    <t>1.5% plus 1.5% of place funding (a further £90)</t>
  </si>
  <si>
    <t>2% plus 2% of place funding (a further £120)</t>
  </si>
  <si>
    <t>Autistic Spectrum Conditions</t>
  </si>
  <si>
    <t>ASD</t>
  </si>
  <si>
    <t>Autistic Spectrum Disorders</t>
  </si>
  <si>
    <t>Social, Emotional and Mental Health</t>
  </si>
  <si>
    <t>Hearing Impairment</t>
  </si>
  <si>
    <t>Moderate Learning Difficulties</t>
  </si>
  <si>
    <t>Nurture &amp; Assessment</t>
  </si>
  <si>
    <t>OAK</t>
  </si>
  <si>
    <t>Cody Hill</t>
  </si>
  <si>
    <t>Physical Disability - large unit</t>
  </si>
  <si>
    <t>Physical Disability - small unit</t>
  </si>
  <si>
    <t>Per Place</t>
  </si>
  <si>
    <t>SIGNERS</t>
  </si>
  <si>
    <t>Speech, Language and Communication Needs</t>
  </si>
  <si>
    <t>Severe Learning Difficulties</t>
  </si>
  <si>
    <t>Specific Learning Difficulties</t>
  </si>
  <si>
    <t>TACTILE</t>
  </si>
  <si>
    <t>Tactile Learner</t>
  </si>
  <si>
    <t>Visual Impairment</t>
  </si>
  <si>
    <t>Additional Place</t>
  </si>
  <si>
    <t>Additional place funding</t>
  </si>
  <si>
    <t>Autumn 2025 - as at 13/01/2026</t>
  </si>
  <si>
    <t>DFE No</t>
  </si>
  <si>
    <t>Helper Column</t>
  </si>
  <si>
    <t>Pupil Identifier</t>
  </si>
  <si>
    <t>Surname</t>
  </si>
  <si>
    <t>Forenames</t>
  </si>
  <si>
    <t>Date of Birth</t>
  </si>
  <si>
    <t>NC Year at Current Date</t>
  </si>
  <si>
    <t>NC Year as at Autumn term</t>
  </si>
  <si>
    <t>Responsible LEA</t>
  </si>
  <si>
    <t>LEA Description</t>
  </si>
  <si>
    <t>Unit Name</t>
  </si>
  <si>
    <t>Date Started at this School</t>
  </si>
  <si>
    <t>Date Left School</t>
  </si>
  <si>
    <t>Need</t>
  </si>
  <si>
    <t>HI/VI</t>
  </si>
  <si>
    <t>Autumn Start date of month</t>
  </si>
  <si>
    <t>Autumn End date of month</t>
  </si>
  <si>
    <t>FTE Autumn</t>
  </si>
  <si>
    <t>HAMPSHIRE</t>
  </si>
  <si>
    <t>Resourced Provision - Ashley Infant School</t>
  </si>
  <si>
    <t>Sum of FTE Autumn</t>
  </si>
  <si>
    <t>Column Labels</t>
  </si>
  <si>
    <t>Row Labels</t>
  </si>
  <si>
    <t>No. of Types</t>
  </si>
  <si>
    <t>Secondary Need Type</t>
  </si>
  <si>
    <t>Tertiary Need Type</t>
  </si>
  <si>
    <t>CHECK</t>
  </si>
  <si>
    <t/>
  </si>
  <si>
    <t>(All)</t>
  </si>
  <si>
    <t>Resourced Provision - Great Binfields Primary</t>
  </si>
  <si>
    <t>Resourced Provision (SLCN) South View Junior</t>
  </si>
  <si>
    <t>Resourced Provision (MLD) South View Junior</t>
  </si>
  <si>
    <t>Resourced Provision - Stoke Park Junior School</t>
  </si>
  <si>
    <t>Resourced Provision - Stoke Park Infant School</t>
  </si>
  <si>
    <t>Resourced Provision - Velmead Junior School</t>
  </si>
  <si>
    <t>Resourced Provision - Sun Hill Junior School</t>
  </si>
  <si>
    <t>Resourced Provision (SEMH) - Wildground Junior</t>
  </si>
  <si>
    <t>Resourced Provision (ASC) – Wildground Junior</t>
  </si>
  <si>
    <t>Resourced Provision (ASC) – Wildground Infant</t>
  </si>
  <si>
    <t>Resourced Provision (SEMH) - Wildground Infant</t>
  </si>
  <si>
    <t>Resourced Provision - Cherbourg Primary School</t>
  </si>
  <si>
    <t>Resourced Provision (BESD)- Trosnant Junior School</t>
  </si>
  <si>
    <t>WEST SUSSEX</t>
  </si>
  <si>
    <t>Resourced Provision (ASC) - Tiptoe Primary School</t>
  </si>
  <si>
    <t>Resourced Provision (SLD) - Tiptoe Primary School</t>
  </si>
  <si>
    <t>Resourced Provision - Liss Junior School</t>
  </si>
  <si>
    <t>Resourced Provision - Vigo Primary School</t>
  </si>
  <si>
    <t>Resourced Provision (SLCN) - South View Infant</t>
  </si>
  <si>
    <t>Resourced Provision (MLD) - South View Infant</t>
  </si>
  <si>
    <t>Resourced Provision - Hiltingbury Infant School</t>
  </si>
  <si>
    <t>Resourced Provision - Liss Infant School</t>
  </si>
  <si>
    <t>Resourced Provision - Kings Copse Primary School</t>
  </si>
  <si>
    <t>Resourced Provision - Shakespeare Junior School</t>
  </si>
  <si>
    <t>Resourced Provision - Manor Junior School</t>
  </si>
  <si>
    <t>Resourced Provision - South Farnborough Junior</t>
  </si>
  <si>
    <t>Resourced Provision - Guillemont Junior School</t>
  </si>
  <si>
    <t>Resourced Provision (SLCN) - Pinewood Infant School</t>
  </si>
  <si>
    <t>Resourced Provision (ASC) - Pinewood Infant School</t>
  </si>
  <si>
    <t>Resourced Provision - Park View Primary</t>
  </si>
  <si>
    <t>Resourced Provision (SLCN) - Morelands Primary</t>
  </si>
  <si>
    <t>Resourced Provision (ASC) - Morelands Primary</t>
  </si>
  <si>
    <t>PORTSMOUTH</t>
  </si>
  <si>
    <t>Resourced Provision - Bedenham Primary School</t>
  </si>
  <si>
    <t>Resourced Provision (SLCN) - Holbrook Primary School</t>
  </si>
  <si>
    <t>Resourced Provision (ASC) - Holbrook Primary School</t>
  </si>
  <si>
    <t>Resourced Provision - Medstead CofE Primary School</t>
  </si>
  <si>
    <t>Resourced Provision - Pennington Junior School</t>
  </si>
  <si>
    <t>Resourced Provision - St Judes Catholic Primary School</t>
  </si>
  <si>
    <t>Resourced Provision - St Mark's CofE Primary</t>
  </si>
  <si>
    <t>Resourced Provision - Eggar's School</t>
  </si>
  <si>
    <t>Resourced Provision - Oakmoor  Academy</t>
  </si>
  <si>
    <t>Resourced Provision (ASC) - The Cowplain School</t>
  </si>
  <si>
    <t>Resourced Provision (SPLD) - The Cowplain School</t>
  </si>
  <si>
    <t>Resourced Provision - The Toynbee School</t>
  </si>
  <si>
    <t>Resourced Provision - (PD - S) Noadswood School</t>
  </si>
  <si>
    <t>Resourced Provision (SEMH) - Noadswood School</t>
  </si>
  <si>
    <t>Resourced Provision - Perins School</t>
  </si>
  <si>
    <t>Resourced Provision - Portchester Community School</t>
  </si>
  <si>
    <t>Resourced Provision (ASC) - The Romsey School</t>
  </si>
  <si>
    <t xml:space="preserve">Resourced Provision - Crookhorn College </t>
  </si>
  <si>
    <t>Resourced Provision (SPLD) - Cranbourne</t>
  </si>
  <si>
    <t>Resourced Provision - Horndean Technology College</t>
  </si>
  <si>
    <t>Resourced Provision - The Henry Beaufort School</t>
  </si>
  <si>
    <t>Resourced Provision - The Vyne Community School</t>
  </si>
  <si>
    <t>Resourced Provision (SPLD) - Crestwood School</t>
  </si>
  <si>
    <t>Resourced Provision (SEMH) - Crestwood School</t>
  </si>
  <si>
    <t>Resourced Provision - Cove School</t>
  </si>
  <si>
    <t>Resourced Provision - The Wavell School</t>
  </si>
  <si>
    <t>Resourced Provision - Fareham Academy</t>
  </si>
  <si>
    <t>Resourced Provision - Kings' School</t>
  </si>
  <si>
    <t>Resourced Provision - Robert May's School</t>
  </si>
  <si>
    <t>Resourced Provision - Ashley Junior LSU (SLCN)</t>
  </si>
  <si>
    <t>Resourced Provision - Ashley Junior LSU (MLD)</t>
  </si>
  <si>
    <t>Resourced Provision - Crofton School</t>
  </si>
  <si>
    <t>Resourced Provision - Applemore College (ASC)</t>
  </si>
  <si>
    <t>Resourced Provision - Applemore College (SpLD)</t>
  </si>
  <si>
    <t>Resourced Provision - Cams Hill School</t>
  </si>
  <si>
    <t>BOURNEMOUTH, CHRISTCHURCH and POOLE</t>
  </si>
  <si>
    <t>SOUTHAMPTON</t>
  </si>
  <si>
    <t>WILTSHIRE</t>
  </si>
  <si>
    <t>SURREY</t>
  </si>
  <si>
    <t>Resourced Provision - Fleet Infant School</t>
  </si>
  <si>
    <t>Resourced Provision - Bartley Junior School</t>
  </si>
  <si>
    <t>Resourced Provision - Newtown Primary School</t>
  </si>
  <si>
    <t>2024/25 Total Indicative Funding</t>
  </si>
  <si>
    <t>2024/25 Indicative funding per place</t>
  </si>
  <si>
    <t>HNAF 2025/26</t>
  </si>
  <si>
    <t>2023-24 - Sch Fund - Budget Shares - Resourced Provisions WORKING.xlsx</t>
  </si>
  <si>
    <t>Data and Information Team</t>
  </si>
  <si>
    <t xml:space="preserve"> </t>
  </si>
  <si>
    <t>Last updated: 07/01/2026</t>
  </si>
  <si>
    <t>Source : Autumn Term 2025 school census</t>
  </si>
  <si>
    <t>HCC - NOR - Autumn Term 2025 - FINAL Data - Number of Full Time and Part Time Pupils on Roll in Special Units</t>
  </si>
  <si>
    <t>AS - note for 2022/23. We still need to calculate this for academies and ensure the notional block spreadsheet is recouped for the correct number of spaces at £10k rather than £6k.  Note this is done on an AY basis and then 5/12 and 7/12 when calculating the recoupment.</t>
  </si>
  <si>
    <t>AS - note for 2021/22 - the unoccupied places should only be calculated using pupils year R to 11.
19/05/2020 - We don't fund unoccupied academy places - done via recoupment</t>
  </si>
  <si>
    <t>Note :</t>
  </si>
  <si>
    <t>Includes part time and full time pupils with a single registration (or main registration if dually registered).</t>
  </si>
  <si>
    <t>TU suggests a higher unoccupied number but census in our favour</t>
  </si>
  <si>
    <t>Data as submitted to the HCC Data Quality / Collections Team - some schools may submit full year group data in error.</t>
  </si>
  <si>
    <t>TU suggests a lower unoccupied number so using this.</t>
  </si>
  <si>
    <t>All in agreement</t>
  </si>
  <si>
    <t>Non-agreement but still 0</t>
  </si>
  <si>
    <t>47 Schools Listed</t>
  </si>
  <si>
    <t>National Curriculum Year Group</t>
  </si>
  <si>
    <t>HCC - NOR - Autumn Term 2025 - Final Data - 2. Pupil Characteristics</t>
  </si>
  <si>
    <t>Includes numbers from 2.Characteristic report where not available</t>
  </si>
  <si>
    <t>Following the Specialist Provisions board on 09/01/2025 →</t>
  </si>
  <si>
    <t>School DfE Number</t>
  </si>
  <si>
    <t>School</t>
  </si>
  <si>
    <t>HIAS Area</t>
  </si>
  <si>
    <t>HIAS District</t>
  </si>
  <si>
    <t>Status</t>
  </si>
  <si>
    <t>N1</t>
  </si>
  <si>
    <t>N2</t>
  </si>
  <si>
    <t>R</t>
  </si>
  <si>
    <t>14+</t>
  </si>
  <si>
    <t>Total Pupils</t>
  </si>
  <si>
    <t>2026/27 FY APN
(AY APN FOR ACADEMIES)</t>
  </si>
  <si>
    <t>October 2025 Census NOR</t>
  </si>
  <si>
    <t>Unoccupied Places - APN compared with Oct 25 census</t>
  </si>
  <si>
    <t>No. from top-up workbook</t>
  </si>
  <si>
    <t>Unoccupied places to be funded</t>
  </si>
  <si>
    <t>Occupied for APT</t>
  </si>
  <si>
    <t>KS3</t>
  </si>
  <si>
    <t>KS4</t>
  </si>
  <si>
    <t>Western</t>
  </si>
  <si>
    <t>New Forest</t>
  </si>
  <si>
    <t>Community</t>
  </si>
  <si>
    <t>Basingstoke &amp; Deane</t>
  </si>
  <si>
    <t>Eastleigh</t>
  </si>
  <si>
    <t>Combine Infant and Junior School NOR</t>
  </si>
  <si>
    <t>Stoke Park Junior School</t>
  </si>
  <si>
    <t>Eastern</t>
  </si>
  <si>
    <t>Havant</t>
  </si>
  <si>
    <t>East Hants</t>
  </si>
  <si>
    <t>New Milton Infant School</t>
  </si>
  <si>
    <t>Nursery resourced provision</t>
  </si>
  <si>
    <t>Test Valley</t>
  </si>
  <si>
    <t>Rushmoor</t>
  </si>
  <si>
    <t>Manor Infant School</t>
  </si>
  <si>
    <t>Gosport</t>
  </si>
  <si>
    <t>CofE Voluntary Controlled</t>
  </si>
  <si>
    <t>Ringwood Church Of England Infant School</t>
  </si>
  <si>
    <t>CofE Voluntary Aided</t>
  </si>
  <si>
    <t>Academy Converter</t>
  </si>
  <si>
    <t>Fareham</t>
  </si>
  <si>
    <t>Winchester</t>
  </si>
  <si>
    <t>Foundation</t>
  </si>
  <si>
    <t>Hart</t>
  </si>
  <si>
    <t>Newly open in Sep 2025 - check with JW as to occupancy in October - no pupils able to be placed in October</t>
  </si>
  <si>
    <t>Newly open in Sep 2025 - check with JW as to occupancy in October</t>
  </si>
  <si>
    <t>New RP Sep 2026</t>
  </si>
  <si>
    <t>Academy - New RP Sep 2026</t>
  </si>
  <si>
    <t>PENNINGTON JUNIOR SCHOOL</t>
  </si>
  <si>
    <t>Wildground Junior</t>
  </si>
  <si>
    <t>Trosnant Infant School</t>
  </si>
  <si>
    <t>25/26 values</t>
  </si>
  <si>
    <t>26/27 values</t>
  </si>
  <si>
    <t>Previous MFG</t>
  </si>
  <si>
    <t>2025/26 Autumn Actual Pupils</t>
  </si>
  <si>
    <t>2025/26 APN</t>
  </si>
  <si>
    <t>OLD Place funding based on 25/26 APN</t>
  </si>
  <si>
    <t>NEW Place funding based on 25/26 APN</t>
  </si>
  <si>
    <t>2025/26 Top-up Based on Need</t>
  </si>
  <si>
    <t>2026/27 Top-up Based on Need</t>
  </si>
  <si>
    <t>Tactile Learners
(VI)</t>
  </si>
  <si>
    <t>Signers
(HI)</t>
  </si>
  <si>
    <t>Tactile/ Signers Total 2025/26</t>
  </si>
  <si>
    <t>Tactile/ Signers Total 2026/27</t>
  </si>
  <si>
    <t>2025/26 MFG per pupil</t>
  </si>
  <si>
    <t xml:space="preserve">Total 2025/26 Funding - including place funding </t>
  </si>
  <si>
    <t>100% of funding (protected funding)</t>
  </si>
  <si>
    <t>Total 2026/27 Funding - including place funding</t>
  </si>
  <si>
    <t>MFG cost 2026/27</t>
  </si>
  <si>
    <t>2026/27 MFG per pupil</t>
  </si>
  <si>
    <t>MFG cost 2025/26</t>
  </si>
  <si>
    <t>MFG variance (per pupil)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</si>
</sst>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6" formatCode="&quot;£&quot;#,##0;[Red]\-&quot;£&quot;#,##0"/>
    <numFmt numFmtId="41" formatCode="_-* #,##0_-;\-* #,##0_-;_-* &quot;-&quot;_-;_-@_-"/>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 #,##0_-;_-* &quot;-&quot;??_-;_-@_-"/>
    <numFmt numFmtId="167" formatCode="dd/mm/yy"/>
    <numFmt numFmtId="168" formatCode="_-* #,##0_-;\-* #,##0_-;_-* &quot;-&quot;???_-;_-@_-"/>
    <numFmt numFmtId="169" formatCode="0.000"/>
    <numFmt numFmtId="170" formatCode="0.0%"/>
    <numFmt numFmtId="171" formatCode="#,##0;[Red]\(#,##0\)"/>
    <numFmt numFmtId="172" formatCode="[$-10409]dd/mm/yyyy"/>
    <numFmt numFmtId="173" formatCode="#,##0.00_ ;\-#,##0.00\ "/>
    <numFmt numFmtId="174" formatCode="_-* #,##0.0_-;\-* #,##0.0_-;_-* &quot;-&quot;??_-;_-@_-"/>
    <numFmt numFmtId="175" formatCode="_-* #,##0.00_-;\-* #,##0.00_-;_-* &quot;-&quot;_-;_-@_-"/>
    <numFmt numFmtId="176" formatCode="&quot;£&quot;#,##0"/>
    <numFmt numFmtId="177" formatCode="&quot;£&quot;#,##0.00"/>
  </numFmts>
  <fonts count="114">
    <font>
      <sz val="11"/>
      <color theme="1"/>
      <name val="Calibri"/>
      <family val="2"/>
      <scheme val="minor"/>
    </font>
    <font>
      <sz val="11"/>
      <color theme="1"/>
      <name val="Arial"/>
      <family val="2"/>
    </font>
    <font>
      <sz val="11"/>
      <color theme="1"/>
      <name val="Arial"/>
      <family val="2"/>
    </font>
    <font>
      <b/>
      <sz val="11"/>
      <color theme="1"/>
      <name val="Calibri"/>
      <family val="2"/>
      <scheme val="minor"/>
    </font>
    <font>
      <b/>
      <sz val="14"/>
      <color theme="1"/>
      <name val="Calibri"/>
      <family val="2"/>
      <scheme val="minor"/>
    </font>
    <font>
      <sz val="10"/>
      <name val="Arial"/>
      <family val="2"/>
    </font>
    <font>
      <sz val="12"/>
      <name val="Garamond"/>
      <family val="1"/>
    </font>
    <font>
      <sz val="11"/>
      <color theme="1"/>
      <name val="Calibri"/>
      <family val="2"/>
      <scheme val="minor"/>
    </font>
    <font>
      <sz val="10"/>
      <name val="Arial"/>
      <family val="2"/>
    </font>
    <font>
      <sz val="11"/>
      <color indexed="8"/>
      <name val="Calibri"/>
      <family val="2"/>
    </font>
    <font>
      <sz val="11"/>
      <color indexed="31"/>
      <name val="Calibri"/>
      <family val="2"/>
    </font>
    <font>
      <sz val="11"/>
      <color indexed="25"/>
      <name val="Calibri"/>
      <family val="2"/>
    </font>
    <font>
      <b/>
      <sz val="11"/>
      <color indexed="26"/>
      <name val="Calibri"/>
      <family val="2"/>
    </font>
    <font>
      <b/>
      <sz val="11"/>
      <color indexed="31"/>
      <name val="Calibri"/>
      <family val="2"/>
    </font>
    <font>
      <b/>
      <i/>
      <sz val="10"/>
      <name val="Arial"/>
      <family val="2"/>
    </font>
    <font>
      <b/>
      <i/>
      <sz val="10"/>
      <name val="Arial"/>
      <family val="2"/>
    </font>
    <font>
      <i/>
      <sz val="11"/>
      <color indexed="55"/>
      <name val="Calibri"/>
      <family val="2"/>
    </font>
    <font>
      <sz val="11"/>
      <color indexed="18"/>
      <name val="Calibri"/>
      <family val="2"/>
    </font>
    <font>
      <b/>
      <sz val="15"/>
      <color indexed="24"/>
      <name val="Calibri"/>
      <family val="2"/>
    </font>
    <font>
      <b/>
      <sz val="13"/>
      <color indexed="24"/>
      <name val="Calibri"/>
      <family val="2"/>
    </font>
    <font>
      <b/>
      <sz val="11"/>
      <color indexed="24"/>
      <name val="Calibri"/>
      <family val="2"/>
    </font>
    <font>
      <sz val="11"/>
      <color indexed="54"/>
      <name val="Calibri"/>
      <family val="2"/>
    </font>
    <font>
      <sz val="11"/>
      <color indexed="26"/>
      <name val="Calibri"/>
      <family val="2"/>
    </font>
    <font>
      <sz val="11"/>
      <color indexed="27"/>
      <name val="Calibri"/>
      <family val="2"/>
    </font>
    <font>
      <b/>
      <sz val="11"/>
      <color indexed="63"/>
      <name val="Calibri"/>
      <family val="2"/>
    </font>
    <font>
      <b/>
      <sz val="18"/>
      <color indexed="24"/>
      <name val="Cambria"/>
      <family val="2"/>
    </font>
    <font>
      <b/>
      <sz val="11"/>
      <color indexed="8"/>
      <name val="Calibri"/>
      <family val="2"/>
    </font>
    <font>
      <sz val="11"/>
      <color indexed="10"/>
      <name val="Calibri"/>
      <family val="2"/>
    </font>
    <font>
      <b/>
      <u/>
      <sz val="11"/>
      <color theme="1"/>
      <name val="Calibri"/>
      <family val="2"/>
      <scheme val="minor"/>
    </font>
    <font>
      <u/>
      <sz val="10"/>
      <color indexed="12"/>
      <name val="Arial"/>
      <family val="2"/>
    </font>
    <font>
      <sz val="11"/>
      <name val="Calibri"/>
      <family val="2"/>
      <scheme val="minor"/>
    </font>
    <font>
      <b/>
      <sz val="14"/>
      <color theme="1"/>
      <name val="Arial"/>
      <family val="2"/>
    </font>
    <font>
      <sz val="12"/>
      <color theme="1"/>
      <name val="Arial"/>
      <family val="2"/>
    </font>
    <font>
      <b/>
      <sz val="12"/>
      <color theme="1"/>
      <name val="Arial"/>
      <family val="2"/>
    </font>
    <font>
      <sz val="14"/>
      <color theme="1"/>
      <name val="Calibri"/>
      <family val="2"/>
      <scheme val="minor"/>
    </font>
    <font>
      <sz val="28"/>
      <name val="Calibri"/>
      <family val="2"/>
      <scheme val="minor"/>
    </font>
    <font>
      <sz val="12"/>
      <name val="Arial"/>
      <family val="2"/>
    </font>
    <font>
      <sz val="9"/>
      <name val="Arial"/>
      <family val="2"/>
    </font>
    <font>
      <b/>
      <sz val="8"/>
      <name val="Arial"/>
      <family val="2"/>
    </font>
    <font>
      <sz val="8"/>
      <name val="Arial"/>
      <family val="2"/>
    </font>
    <font>
      <sz val="8"/>
      <name val="Verdana"/>
      <family val="2"/>
    </font>
    <font>
      <sz val="14"/>
      <name val="Verdana"/>
      <family val="2"/>
    </font>
    <font>
      <b/>
      <sz val="8"/>
      <color indexed="8"/>
      <name val="Verdana"/>
      <family val="2"/>
    </font>
    <font>
      <sz val="12"/>
      <name val="Times New Roman"/>
      <family val="1"/>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Times New Roman"/>
      <family val="1"/>
    </font>
    <font>
      <sz val="10"/>
      <color indexed="21"/>
      <name val="System"/>
      <family val="2"/>
    </font>
    <font>
      <i/>
      <sz val="11"/>
      <color indexed="23"/>
      <name val="Calibri"/>
      <family val="2"/>
    </font>
    <font>
      <sz val="9"/>
      <color indexed="18"/>
      <name val="Arial"/>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0"/>
      <color indexed="18"/>
      <name val="System"/>
      <family val="2"/>
    </font>
    <font>
      <sz val="11"/>
      <color indexed="62"/>
      <name val="Calibri"/>
      <family val="2"/>
    </font>
    <font>
      <sz val="9"/>
      <color indexed="12"/>
      <name val="Arial"/>
      <family val="2"/>
    </font>
    <font>
      <sz val="11"/>
      <color indexed="52"/>
      <name val="Calibri"/>
      <family val="2"/>
    </font>
    <font>
      <i/>
      <sz val="10"/>
      <color indexed="17"/>
      <name val="System"/>
      <family val="2"/>
    </font>
    <font>
      <sz val="11"/>
      <color indexed="60"/>
      <name val="Calibri"/>
      <family val="2"/>
    </font>
    <font>
      <sz val="11"/>
      <name val="TimesNewRomanPS"/>
    </font>
    <font>
      <sz val="10"/>
      <color indexed="8"/>
      <name val="Arial"/>
      <family val="2"/>
    </font>
    <font>
      <sz val="10"/>
      <color indexed="14"/>
      <name val="System"/>
      <family val="2"/>
    </font>
    <font>
      <b/>
      <sz val="18"/>
      <color indexed="56"/>
      <name val="Cambria"/>
      <family val="2"/>
    </font>
    <font>
      <sz val="10"/>
      <color indexed="17"/>
      <name val="System"/>
      <family val="2"/>
    </font>
    <font>
      <u/>
      <sz val="9"/>
      <color indexed="12"/>
      <name val="Arial"/>
      <family val="2"/>
    </font>
    <font>
      <sz val="11"/>
      <color rgb="FF000000"/>
      <name val="Calibri"/>
      <family val="2"/>
      <scheme val="minor"/>
    </font>
    <font>
      <sz val="28"/>
      <color theme="1"/>
      <name val="Calibri"/>
      <family val="2"/>
      <scheme val="minor"/>
    </font>
    <font>
      <b/>
      <sz val="12"/>
      <name val="Calibri"/>
      <family val="2"/>
      <scheme val="minor"/>
    </font>
    <font>
      <b/>
      <sz val="14"/>
      <color theme="1"/>
      <name val="Calibri"/>
      <family val="2"/>
    </font>
    <font>
      <b/>
      <sz val="14"/>
      <name val="Calibri"/>
      <family val="2"/>
      <scheme val="minor"/>
    </font>
    <font>
      <sz val="11"/>
      <color indexed="8"/>
      <name val="Arial"/>
      <family val="2"/>
    </font>
    <font>
      <sz val="11"/>
      <name val="Arial"/>
      <family val="2"/>
    </font>
    <font>
      <b/>
      <sz val="12"/>
      <color rgb="FF000000"/>
      <name val="Arial"/>
      <family val="2"/>
    </font>
    <font>
      <sz val="10"/>
      <color theme="1"/>
      <name val="Arial"/>
      <family val="2"/>
    </font>
    <font>
      <sz val="11"/>
      <color rgb="FFFF0000"/>
      <name val="Arial"/>
      <family val="2"/>
    </font>
    <font>
      <b/>
      <sz val="11"/>
      <color theme="1"/>
      <name val="Arial"/>
      <family val="2"/>
    </font>
    <font>
      <sz val="11"/>
      <color rgb="FFFF0000"/>
      <name val="Calibri"/>
      <family val="2"/>
      <scheme val="minor"/>
    </font>
    <font>
      <b/>
      <sz val="11"/>
      <color rgb="FFFF0000"/>
      <name val="Calibri"/>
      <family val="2"/>
      <scheme val="minor"/>
    </font>
    <font>
      <u/>
      <sz val="11"/>
      <color theme="10"/>
      <name val="Calibri"/>
      <family val="2"/>
      <scheme val="minor"/>
    </font>
    <font>
      <b/>
      <sz val="16"/>
      <color theme="1"/>
      <name val="Arial"/>
      <family val="2"/>
    </font>
    <font>
      <sz val="16"/>
      <color theme="1"/>
      <name val="Arial"/>
      <family val="2"/>
    </font>
    <font>
      <b/>
      <sz val="11"/>
      <color indexed="9"/>
      <name val="Calibri"/>
      <family val="2"/>
      <scheme val="minor"/>
    </font>
    <font>
      <b/>
      <i/>
      <sz val="11"/>
      <color theme="1"/>
      <name val="Arial"/>
      <family val="2"/>
    </font>
    <font>
      <sz val="12"/>
      <color theme="1"/>
      <name val="Calibri"/>
      <family val="2"/>
      <scheme val="minor"/>
    </font>
    <font>
      <sz val="11"/>
      <color theme="0"/>
      <name val="Calibri"/>
      <family val="2"/>
      <scheme val="minor"/>
    </font>
    <font>
      <b/>
      <sz val="18"/>
      <color theme="7" tint="-0.249977111117893"/>
      <name val="Arial"/>
      <family val="2"/>
    </font>
    <font>
      <b/>
      <sz val="10"/>
      <color theme="1"/>
      <name val="Arial"/>
      <family val="2"/>
    </font>
    <font>
      <i/>
      <sz val="10"/>
      <color rgb="FFFF0000"/>
      <name val="Arial"/>
      <family val="2"/>
    </font>
    <font>
      <sz val="11"/>
      <color rgb="FFFF66FF"/>
      <name val="Calibri"/>
      <family val="2"/>
      <scheme val="minor"/>
    </font>
    <font>
      <b/>
      <sz val="12"/>
      <name val="Arial"/>
      <family val="2"/>
    </font>
    <font>
      <sz val="13"/>
      <color theme="1"/>
      <name val="Arial"/>
      <family val="2"/>
    </font>
    <font>
      <sz val="9"/>
      <color theme="1"/>
      <name val="Arial"/>
      <family val="2"/>
    </font>
    <font>
      <sz val="9"/>
      <color indexed="81"/>
      <name val="Tahoma"/>
      <family val="2"/>
    </font>
    <font>
      <b/>
      <sz val="9"/>
      <color indexed="81"/>
      <name val="Tahoma"/>
      <family val="2"/>
    </font>
    <font>
      <b/>
      <sz val="11"/>
      <name val="Calibri"/>
      <family val="2"/>
      <scheme val="minor"/>
    </font>
    <font>
      <sz val="10"/>
      <color rgb="FFFF0000"/>
      <name val="Arial"/>
      <family val="2"/>
    </font>
    <font>
      <sz val="11"/>
      <color rgb="FFFF00FF"/>
      <name val="Calibri"/>
      <family val="2"/>
      <scheme val="minor"/>
    </font>
    <font>
      <b/>
      <sz val="10"/>
      <color rgb="FFFF0000"/>
      <name val="Arial"/>
      <family val="2"/>
    </font>
    <font>
      <i/>
      <sz val="11"/>
      <color theme="1"/>
      <name val="Times New Roman"/>
      <family val="1"/>
    </font>
    <font>
      <sz val="11"/>
      <color theme="1"/>
      <name val="Times New Roman"/>
      <family val="1"/>
    </font>
    <font>
      <sz val="10"/>
      <color rgb="FF4D4D4D"/>
      <name val="Tahoma"/>
      <family val="2"/>
    </font>
    <font>
      <b/>
      <sz val="14"/>
      <color rgb="FFFF0000"/>
      <name val="Arial"/>
      <family val="2"/>
    </font>
    <font>
      <b/>
      <sz val="10"/>
      <name val="Arial"/>
      <family val="2"/>
    </font>
    <font>
      <b/>
      <sz val="12"/>
      <color rgb="FFFF0000"/>
      <name val="Calibri"/>
      <family val="2"/>
      <scheme val="minor"/>
    </font>
    <font>
      <sz val="10"/>
      <color theme="1"/>
      <name val="Calibri"/>
      <family val="2"/>
      <scheme val="minor"/>
    </font>
    <font>
      <i/>
      <sz val="10"/>
      <color rgb="FFFF00FF"/>
      <name val="Arial"/>
      <family val="2"/>
    </font>
    <font>
      <sz val="8"/>
      <color theme="1"/>
      <name val="Arial"/>
      <family val="2"/>
    </font>
    <font>
      <sz val="10"/>
      <color rgb="FF00B0F0"/>
      <name val="Arial"/>
      <family val="2"/>
    </font>
    <font>
      <sz val="11"/>
      <color rgb="FFFFFF99"/>
      <name val="Calibri"/>
      <family val="2"/>
      <scheme val="minor"/>
    </font>
    <font>
      <b/>
      <sz val="12"/>
      <color rgb="FFFF0000"/>
      <name val="Arial"/>
      <family val="2"/>
    </font>
    <font>
      <sz val="11"/>
      <color theme="1"/>
      <name val="Arial"/>
    </font>
  </fonts>
  <fills count="83">
    <fill>
      <patternFill patternType="none"/>
    </fill>
    <fill>
      <patternFill patternType="gray125"/>
    </fill>
    <fill>
      <patternFill patternType="solid">
        <fgColor rgb="FFFFFF00"/>
        <bgColor indexed="64"/>
      </patternFill>
    </fill>
    <fill>
      <patternFill patternType="solid">
        <fgColor indexed="47"/>
      </patternFill>
    </fill>
    <fill>
      <patternFill patternType="solid">
        <fgColor indexed="41"/>
      </patternFill>
    </fill>
    <fill>
      <patternFill patternType="solid">
        <fgColor indexed="46"/>
      </patternFill>
    </fill>
    <fill>
      <patternFill patternType="solid">
        <fgColor indexed="42"/>
      </patternFill>
    </fill>
    <fill>
      <patternFill patternType="solid">
        <fgColor indexed="11"/>
      </patternFill>
    </fill>
    <fill>
      <patternFill patternType="solid">
        <fgColor indexed="51"/>
      </patternFill>
    </fill>
    <fill>
      <patternFill patternType="solid">
        <fgColor indexed="57"/>
      </patternFill>
    </fill>
    <fill>
      <patternFill patternType="solid">
        <fgColor indexed="15"/>
      </patternFill>
    </fill>
    <fill>
      <patternFill patternType="solid">
        <fgColor indexed="61"/>
      </patternFill>
    </fill>
    <fill>
      <patternFill patternType="solid">
        <fgColor indexed="52"/>
      </patternFill>
    </fill>
    <fill>
      <patternFill patternType="solid">
        <fgColor indexed="21"/>
      </patternFill>
    </fill>
    <fill>
      <patternFill patternType="solid">
        <fgColor indexed="20"/>
      </patternFill>
    </fill>
    <fill>
      <patternFill patternType="solid">
        <fgColor indexed="53"/>
      </patternFill>
    </fill>
    <fill>
      <patternFill patternType="solid">
        <fgColor indexed="17"/>
      </patternFill>
    </fill>
    <fill>
      <patternFill patternType="solid">
        <fgColor indexed="45"/>
      </patternFill>
    </fill>
    <fill>
      <patternFill patternType="solid">
        <fgColor indexed="9"/>
      </patternFill>
    </fill>
    <fill>
      <patternFill patternType="solid">
        <fgColor indexed="55"/>
      </patternFill>
    </fill>
    <fill>
      <patternFill patternType="solid">
        <fgColor indexed="4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FFC000"/>
        <bgColor rgb="FF000000"/>
      </patternFill>
    </fill>
    <fill>
      <patternFill patternType="solid">
        <fgColor rgb="FF00B0F0"/>
        <bgColor rgb="FF000000"/>
      </patternFill>
    </fill>
    <fill>
      <patternFill patternType="solid">
        <fgColor rgb="FFFFFF00"/>
        <bgColor rgb="FF000000"/>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22"/>
        <bgColor indexed="64"/>
      </patternFill>
    </fill>
    <fill>
      <patternFill patternType="solid">
        <fgColor indexed="31"/>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22"/>
      </patternFill>
    </fill>
    <fill>
      <patternFill patternType="solid">
        <fgColor indexed="12"/>
        <bgColor indexed="64"/>
      </patternFill>
    </fill>
    <fill>
      <patternFill patternType="solid">
        <fgColor indexed="43"/>
      </patternFill>
    </fill>
    <fill>
      <patternFill patternType="solid">
        <fgColor indexed="26"/>
      </patternFill>
    </fill>
    <fill>
      <patternFill patternType="solid">
        <fgColor rgb="FFFFFF99"/>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rgb="FF000000"/>
      </patternFill>
    </fill>
    <fill>
      <patternFill patternType="solid">
        <fgColor theme="6" tint="0.79998168889431442"/>
        <bgColor indexed="64"/>
      </patternFill>
    </fill>
    <fill>
      <patternFill patternType="solid">
        <fgColor theme="3" tint="0.79998168889431442"/>
        <bgColor theme="4" tint="0.79998168889431442"/>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tint="0.79998168889431442"/>
        <bgColor indexed="64"/>
      </patternFill>
    </fill>
    <fill>
      <patternFill patternType="gray0625">
        <bgColor theme="5" tint="0.79995117038483843"/>
      </patternFill>
    </fill>
    <fill>
      <patternFill patternType="solid">
        <fgColor indexed="54"/>
        <bgColor indexed="9"/>
      </patternFill>
    </fill>
    <fill>
      <patternFill patternType="solid">
        <fgColor theme="3" tint="0.59999389629810485"/>
        <bgColor theme="4" tint="0.79998168889431442"/>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92D050"/>
        <bgColor indexed="64"/>
      </patternFill>
    </fill>
    <fill>
      <patternFill patternType="solid">
        <fgColor rgb="FFFFC000"/>
        <bgColor indexed="64"/>
      </patternFill>
    </fill>
    <fill>
      <patternFill patternType="solid">
        <fgColor rgb="FF7030A0"/>
        <bgColor indexed="9"/>
      </patternFill>
    </fill>
    <fill>
      <patternFill patternType="solid">
        <fgColor rgb="FF92D050"/>
        <bgColor indexed="9"/>
      </patternFill>
    </fill>
    <fill>
      <patternFill patternType="solid">
        <fgColor rgb="FFFBBBE6"/>
        <bgColor indexed="64"/>
      </patternFill>
    </fill>
    <fill>
      <patternFill patternType="solid">
        <fgColor rgb="FF2BF5F5"/>
        <bgColor indexed="64"/>
      </patternFill>
    </fill>
    <fill>
      <patternFill patternType="solid">
        <fgColor rgb="FFFF66FF"/>
        <bgColor indexed="64"/>
      </patternFill>
    </fill>
    <fill>
      <patternFill patternType="solid">
        <fgColor rgb="FF00B0F0"/>
        <bgColor indexed="64"/>
      </patternFill>
    </fill>
    <fill>
      <patternFill patternType="solid">
        <fgColor theme="0" tint="-0.249977111117893"/>
        <bgColor indexed="64"/>
      </patternFill>
    </fill>
    <fill>
      <patternFill patternType="solid">
        <fgColor theme="1"/>
        <bgColor indexed="64"/>
      </patternFill>
    </fill>
    <fill>
      <patternFill patternType="solid">
        <fgColor rgb="FFFFCCFF"/>
        <bgColor indexed="64"/>
      </patternFill>
    </fill>
    <fill>
      <patternFill patternType="solid">
        <fgColor rgb="FFFF00FF"/>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thick">
        <color indexed="52"/>
      </bottom>
      <diagonal/>
    </border>
    <border>
      <left/>
      <right/>
      <top/>
      <bottom style="thick">
        <color indexed="51"/>
      </bottom>
      <diagonal/>
    </border>
    <border>
      <left/>
      <right/>
      <top/>
      <bottom style="medium">
        <color indexed="51"/>
      </bottom>
      <diagonal/>
    </border>
    <border>
      <left/>
      <right/>
      <top/>
      <bottom style="double">
        <color indexed="26"/>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2"/>
      </top>
      <bottom style="double">
        <color indexed="52"/>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rgb="FFB2B2B2"/>
      </left>
      <right style="thin">
        <color rgb="FFB2B2B2"/>
      </right>
      <top style="thin">
        <color rgb="FFB2B2B2"/>
      </top>
      <bottom style="thin">
        <color rgb="FFB2B2B2"/>
      </bottom>
      <diagonal/>
    </border>
    <border>
      <left style="thin">
        <color indexed="31"/>
      </left>
      <right style="thin">
        <color indexed="31"/>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13"/>
      </top>
      <bottom style="thin">
        <color indexed="13"/>
      </bottom>
      <diagonal/>
    </border>
    <border>
      <left/>
      <right style="medium">
        <color indexed="33"/>
      </right>
      <top/>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double">
        <color indexed="64"/>
      </right>
      <top style="thick">
        <color indexed="64"/>
      </top>
      <bottom style="thick">
        <color indexed="64"/>
      </bottom>
      <diagonal/>
    </border>
    <border>
      <left style="thin">
        <color auto="1"/>
      </left>
      <right style="thin">
        <color auto="1"/>
      </right>
      <top style="medium">
        <color indexed="64"/>
      </top>
      <bottom style="thin">
        <color auto="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style="thin">
        <color auto="1"/>
      </right>
      <top/>
      <bottom/>
      <diagonal/>
    </border>
    <border>
      <left style="medium">
        <color indexed="64"/>
      </left>
      <right style="thin">
        <color indexed="64"/>
      </right>
      <top style="thin">
        <color indexed="64"/>
      </top>
      <bottom/>
      <diagonal/>
    </border>
    <border>
      <left style="thin">
        <color rgb="FFE5E5E5"/>
      </left>
      <right style="thin">
        <color rgb="FFE5E5E5"/>
      </right>
      <top style="thin">
        <color rgb="FFE5E5E5"/>
      </top>
      <bottom style="thin">
        <color rgb="FFE5E5E5"/>
      </bottom>
      <diagonal/>
    </border>
    <border>
      <left style="thin">
        <color rgb="FFE5E5E5"/>
      </left>
      <right/>
      <top style="thin">
        <color rgb="FFE5E5E5"/>
      </top>
      <bottom style="thin">
        <color rgb="FFE5E5E5"/>
      </bottom>
      <diagonal/>
    </border>
    <border>
      <left style="thin">
        <color indexed="64"/>
      </left>
      <right/>
      <top style="thin">
        <color indexed="64"/>
      </top>
      <bottom style="medium">
        <color indexed="64"/>
      </bottom>
      <diagonal/>
    </border>
    <border>
      <left/>
      <right style="medium">
        <color indexed="64"/>
      </right>
      <top/>
      <bottom style="thin">
        <color auto="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bottom style="thin">
        <color indexed="64"/>
      </bottom>
      <diagonal/>
    </border>
    <border>
      <left/>
      <right style="thin">
        <color theme="0" tint="-0.24994659260841701"/>
      </right>
      <top style="thin">
        <color theme="0" tint="-0.24994659260841701"/>
      </top>
      <bottom style="thin">
        <color theme="0" tint="-0.24994659260841701"/>
      </bottom>
      <diagonal/>
    </border>
    <border>
      <left style="medium">
        <color indexed="64"/>
      </left>
      <right style="medium">
        <color indexed="64"/>
      </right>
      <top/>
      <bottom/>
      <diagonal/>
    </border>
    <border>
      <left style="thin">
        <color indexed="64"/>
      </left>
      <right style="medium">
        <color indexed="64"/>
      </right>
      <top style="hair">
        <color theme="0" tint="-0.14996795556505021"/>
      </top>
      <bottom style="hair">
        <color theme="0" tint="-0.14996795556505021"/>
      </bottom>
      <diagonal/>
    </border>
    <border>
      <left/>
      <right/>
      <top style="thin">
        <color theme="0" tint="-0.24994659260841701"/>
      </top>
      <bottom/>
      <diagonal/>
    </border>
    <border>
      <left style="thin">
        <color indexed="31"/>
      </left>
      <right style="thin">
        <color indexed="31"/>
      </right>
      <top style="thin">
        <color indexed="31"/>
      </top>
      <bottom style="thin">
        <color indexed="31"/>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s>
  <cellStyleXfs count="920">
    <xf numFmtId="0" fontId="0" fillId="0" borderId="0"/>
    <xf numFmtId="43" fontId="7" fillId="0" borderId="0" applyFont="0" applyFill="0" applyBorder="0" applyAlignment="0" applyProtection="0"/>
    <xf numFmtId="0" fontId="8" fillId="0" borderId="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3" borderId="0" applyNumberFormat="0" applyBorder="0" applyAlignment="0" applyProtection="0"/>
    <xf numFmtId="0" fontId="9"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7"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1" fillId="17" borderId="0" applyNumberFormat="0" applyBorder="0" applyAlignment="0" applyProtection="0"/>
    <xf numFmtId="0" fontId="12" fillId="18" borderId="1" applyNumberFormat="0" applyAlignment="0" applyProtection="0"/>
    <xf numFmtId="0" fontId="13" fillId="19" borderId="2" applyNumberFormat="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6"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0" fontId="16" fillId="0" borderId="0" applyNumberFormat="0" applyFill="0" applyBorder="0" applyAlignment="0" applyProtection="0"/>
    <xf numFmtId="0" fontId="17" fillId="20"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21" fillId="7" borderId="1" applyNumberFormat="0" applyAlignment="0" applyProtection="0"/>
    <xf numFmtId="0" fontId="22" fillId="0" borderId="6" applyNumberFormat="0" applyFill="0" applyAlignment="0" applyProtection="0"/>
    <xf numFmtId="0" fontId="23" fillId="7" borderId="0" applyNumberFormat="0" applyBorder="0" applyAlignment="0" applyProtection="0"/>
    <xf numFmtId="0" fontId="5" fillId="0" borderId="0"/>
    <xf numFmtId="0" fontId="5" fillId="0" borderId="0"/>
    <xf numFmtId="0" fontId="5" fillId="0" borderId="0"/>
    <xf numFmtId="0" fontId="6" fillId="0" borderId="0"/>
    <xf numFmtId="0" fontId="6" fillId="0" borderId="0"/>
    <xf numFmtId="0" fontId="8" fillId="0" borderId="0"/>
    <xf numFmtId="0" fontId="8" fillId="0" borderId="0"/>
    <xf numFmtId="0" fontId="5" fillId="6" borderId="7" applyNumberFormat="0" applyFont="0" applyAlignment="0" applyProtection="0"/>
    <xf numFmtId="0" fontId="24" fillId="18" borderId="8" applyNumberFormat="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0" fontId="8" fillId="0" borderId="0"/>
    <xf numFmtId="0" fontId="29" fillId="0" borderId="0" applyNumberFormat="0" applyFill="0" applyBorder="0" applyAlignment="0" applyProtection="0">
      <alignment vertical="top"/>
      <protection locked="0"/>
    </xf>
    <xf numFmtId="0" fontId="5" fillId="0" borderId="0"/>
    <xf numFmtId="0" fontId="5" fillId="0" borderId="0"/>
    <xf numFmtId="0" fontId="7" fillId="0" borderId="0"/>
    <xf numFmtId="43" fontId="7" fillId="0" borderId="0" applyFont="0" applyFill="0" applyBorder="0" applyAlignment="0" applyProtection="0"/>
    <xf numFmtId="0" fontId="6" fillId="0" borderId="0"/>
    <xf numFmtId="0" fontId="8" fillId="0" borderId="0"/>
    <xf numFmtId="0" fontId="5" fillId="0" borderId="0"/>
    <xf numFmtId="0" fontId="32" fillId="0" borderId="0"/>
    <xf numFmtId="0" fontId="5" fillId="0" borderId="0"/>
    <xf numFmtId="0" fontId="5" fillId="0" borderId="0"/>
    <xf numFmtId="43" fontId="32" fillId="0" borderId="0" applyFont="0" applyFill="0" applyBorder="0" applyAlignment="0" applyProtection="0"/>
    <xf numFmtId="0" fontId="36" fillId="0" borderId="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9" fillId="0" borderId="0"/>
    <xf numFmtId="0" fontId="36" fillId="0" borderId="0"/>
    <xf numFmtId="40" fontId="36" fillId="0" borderId="0"/>
    <xf numFmtId="0" fontId="5" fillId="0" borderId="0"/>
    <xf numFmtId="0" fontId="7" fillId="0" borderId="0"/>
    <xf numFmtId="0" fontId="36" fillId="0" borderId="0"/>
    <xf numFmtId="44" fontId="36" fillId="0" borderId="0" applyFont="0" applyFill="0" applyBorder="0" applyAlignment="0" applyProtection="0"/>
    <xf numFmtId="43" fontId="36" fillId="0" borderId="0" applyFont="0" applyFill="0" applyBorder="0" applyAlignment="0" applyProtection="0"/>
    <xf numFmtId="0" fontId="36" fillId="0" borderId="0"/>
    <xf numFmtId="0" fontId="36" fillId="0" borderId="0"/>
    <xf numFmtId="0" fontId="36" fillId="0" borderId="0"/>
    <xf numFmtId="0" fontId="5" fillId="0" borderId="0"/>
    <xf numFmtId="0" fontId="5" fillId="0" borderId="0"/>
    <xf numFmtId="165" fontId="5" fillId="0" borderId="0" applyFont="0" applyFill="0" applyBorder="0" applyAlignment="0" applyProtection="0"/>
    <xf numFmtId="0" fontId="7" fillId="0" borderId="0"/>
    <xf numFmtId="164" fontId="5" fillId="0" borderId="0" applyFont="0" applyFill="0" applyBorder="0" applyAlignment="0" applyProtection="0"/>
    <xf numFmtId="0" fontId="36"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0" fillId="40" borderId="23">
      <alignment horizontal="center" vertical="top" wrapText="1"/>
    </xf>
    <xf numFmtId="0" fontId="40" fillId="40" borderId="23">
      <alignment horizontal="center" textRotation="90" wrapText="1"/>
    </xf>
    <xf numFmtId="0" fontId="41" fillId="0" borderId="0">
      <alignment vertical="top"/>
    </xf>
    <xf numFmtId="0" fontId="42" fillId="40" borderId="23">
      <alignment horizontal="centerContinuous" vertical="top" wrapText="1"/>
    </xf>
    <xf numFmtId="0" fontId="40" fillId="40" borderId="24">
      <alignment horizontal="center" vertical="top" wrapText="1"/>
    </xf>
    <xf numFmtId="0" fontId="43" fillId="0" borderId="0"/>
    <xf numFmtId="0" fontId="9" fillId="41" borderId="0" applyNumberFormat="0" applyBorder="0" applyAlignment="0" applyProtection="0"/>
    <xf numFmtId="0" fontId="9" fillId="41" borderId="0" applyNumberFormat="0" applyBorder="0" applyAlignment="0" applyProtection="0"/>
    <xf numFmtId="0" fontId="7" fillId="28" borderId="0" applyNumberFormat="0" applyBorder="0" applyAlignment="0" applyProtection="0"/>
    <xf numFmtId="0" fontId="9" fillId="41"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7" fillId="30" borderId="0" applyNumberFormat="0" applyBorder="0" applyAlignment="0" applyProtection="0"/>
    <xf numFmtId="0" fontId="9" fillId="17"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7" fillId="32" borderId="0" applyNumberFormat="0" applyBorder="0" applyAlignment="0" applyProtection="0"/>
    <xf numFmtId="0" fontId="9" fillId="6"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7" fillId="34" borderId="0" applyNumberFormat="0" applyBorder="0" applyAlignment="0" applyProtection="0"/>
    <xf numFmtId="0" fontId="9" fillId="5" borderId="0" applyNumberFormat="0" applyBorder="0" applyAlignment="0" applyProtection="0"/>
    <xf numFmtId="0" fontId="9" fillId="42" borderId="0" applyNumberFormat="0" applyBorder="0" applyAlignment="0" applyProtection="0"/>
    <xf numFmtId="0" fontId="9" fillId="42" borderId="0" applyNumberFormat="0" applyBorder="0" applyAlignment="0" applyProtection="0"/>
    <xf numFmtId="0" fontId="7" fillId="36" borderId="0" applyNumberFormat="0" applyBorder="0" applyAlignment="0" applyProtection="0"/>
    <xf numFmtId="0" fontId="9" fillId="42"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7" fillId="38" borderId="0" applyNumberFormat="0" applyBorder="0" applyAlignment="0" applyProtection="0"/>
    <xf numFmtId="0" fontId="9" fillId="3"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7" fillId="29" borderId="0" applyNumberFormat="0" applyBorder="0" applyAlignment="0" applyProtection="0"/>
    <xf numFmtId="0" fontId="9" fillId="20" borderId="0" applyNumberFormat="0" applyBorder="0" applyAlignment="0" applyProtection="0"/>
    <xf numFmtId="0" fontId="9" fillId="43" borderId="0" applyNumberFormat="0" applyBorder="0" applyAlignment="0" applyProtection="0"/>
    <xf numFmtId="0" fontId="9" fillId="43" borderId="0" applyNumberFormat="0" applyBorder="0" applyAlignment="0" applyProtection="0"/>
    <xf numFmtId="0" fontId="7" fillId="31" borderId="0" applyNumberFormat="0" applyBorder="0" applyAlignment="0" applyProtection="0"/>
    <xf numFmtId="0" fontId="9" fillId="43"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7" fillId="33" borderId="0" applyNumberFormat="0" applyBorder="0" applyAlignment="0" applyProtection="0"/>
    <xf numFmtId="0" fontId="9" fillId="7"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7" fillId="35" borderId="0" applyNumberFormat="0" applyBorder="0" applyAlignment="0" applyProtection="0"/>
    <xf numFmtId="0" fontId="9" fillId="5"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7" fillId="37" borderId="0" applyNumberFormat="0" applyBorder="0" applyAlignment="0" applyProtection="0"/>
    <xf numFmtId="0" fontId="9" fillId="20"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7" fillId="39" borderId="0" applyNumberFormat="0" applyBorder="0" applyAlignment="0" applyProtection="0"/>
    <xf numFmtId="0" fontId="9" fillId="8" borderId="0" applyNumberFormat="0" applyBorder="0" applyAlignment="0" applyProtection="0"/>
    <xf numFmtId="0" fontId="44" fillId="44" borderId="0" applyNumberFormat="0" applyBorder="0" applyAlignment="0" applyProtection="0"/>
    <xf numFmtId="0" fontId="44" fillId="44"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47" borderId="0" applyNumberFormat="0" applyBorder="0" applyAlignment="0" applyProtection="0"/>
    <xf numFmtId="0" fontId="44" fillId="47" borderId="0" applyNumberFormat="0" applyBorder="0" applyAlignment="0" applyProtection="0"/>
    <xf numFmtId="0" fontId="44" fillId="48" borderId="0" applyNumberFormat="0" applyBorder="0" applyAlignment="0" applyProtection="0"/>
    <xf numFmtId="0" fontId="44" fillId="48"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45" borderId="0" applyNumberFormat="0" applyBorder="0" applyAlignment="0" applyProtection="0"/>
    <xf numFmtId="0" fontId="44" fillId="45" borderId="0" applyNumberFormat="0" applyBorder="0" applyAlignment="0" applyProtection="0"/>
    <xf numFmtId="0" fontId="44" fillId="46" borderId="0" applyNumberFormat="0" applyBorder="0" applyAlignment="0" applyProtection="0"/>
    <xf numFmtId="0" fontId="44" fillId="46"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6" fillId="49" borderId="23" applyNumberFormat="0" applyAlignment="0" applyProtection="0"/>
    <xf numFmtId="0" fontId="46" fillId="49" borderId="23" applyNumberFormat="0" applyAlignment="0" applyProtection="0"/>
    <xf numFmtId="0" fontId="47" fillId="19" borderId="2" applyNumberFormat="0" applyAlignment="0" applyProtection="0"/>
    <xf numFmtId="0" fontId="47" fillId="19" borderId="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protection locked="0"/>
    </xf>
    <xf numFmtId="0" fontId="50" fillId="0" borderId="0" applyNumberFormat="0" applyFill="0" applyBorder="0" applyAlignment="0" applyProtection="0"/>
    <xf numFmtId="0" fontId="50" fillId="0" borderId="0" applyNumberFormat="0" applyFill="0" applyBorder="0" applyAlignment="0" applyProtection="0"/>
    <xf numFmtId="1" fontId="51" fillId="0" borderId="0" applyNumberFormat="0" applyFill="0" applyBorder="0" applyAlignment="0" applyProtection="0"/>
    <xf numFmtId="0" fontId="52" fillId="6" borderId="0" applyNumberFormat="0" applyBorder="0" applyAlignment="0" applyProtection="0"/>
    <xf numFmtId="0" fontId="52" fillId="6" borderId="0" applyNumberFormat="0" applyBorder="0" applyAlignment="0" applyProtection="0"/>
    <xf numFmtId="0" fontId="38" fillId="0" borderId="0">
      <alignment horizontal="center" vertical="center" wrapText="1"/>
    </xf>
    <xf numFmtId="0" fontId="39" fillId="0" borderId="11">
      <alignment horizontal="center" vertical="center" wrapText="1"/>
    </xf>
    <xf numFmtId="0" fontId="38" fillId="0" borderId="0">
      <alignment horizontal="left" wrapText="1"/>
    </xf>
    <xf numFmtId="0" fontId="53" fillId="0" borderId="25" applyNumberFormat="0" applyFill="0" applyAlignment="0" applyProtection="0"/>
    <xf numFmtId="0" fontId="53" fillId="0" borderId="25"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55" fillId="0" borderId="27" applyNumberFormat="0" applyFill="0" applyAlignment="0" applyProtection="0"/>
    <xf numFmtId="0" fontId="55" fillId="0" borderId="27" applyNumberFormat="0" applyFill="0" applyAlignment="0" applyProtection="0"/>
    <xf numFmtId="0" fontId="55" fillId="0" borderId="0" applyNumberFormat="0" applyFill="0" applyBorder="0" applyAlignment="0" applyProtection="0"/>
    <xf numFmtId="0" fontId="55" fillId="0" borderId="0" applyNumberFormat="0" applyFill="0" applyBorder="0" applyAlignment="0" applyProtection="0"/>
    <xf numFmtId="1" fontId="56" fillId="0" borderId="0" applyNumberFormat="0" applyFill="0" applyBorder="0" applyAlignment="0" applyProtection="0"/>
    <xf numFmtId="0" fontId="57" fillId="3" borderId="23" applyNumberFormat="0" applyAlignment="0" applyProtection="0"/>
    <xf numFmtId="0" fontId="57" fillId="3" borderId="23" applyNumberFormat="0" applyAlignment="0" applyProtection="0"/>
    <xf numFmtId="1" fontId="58" fillId="50" borderId="0" applyNumberFormat="0" applyFill="0" applyBorder="0" applyAlignment="0" applyProtection="0"/>
    <xf numFmtId="0" fontId="39" fillId="0" borderId="0">
      <alignment horizontal="left" vertical="center"/>
    </xf>
    <xf numFmtId="0" fontId="39" fillId="0" borderId="0">
      <alignment horizontal="center" vertical="center"/>
    </xf>
    <xf numFmtId="0" fontId="59" fillId="0" borderId="28" applyNumberFormat="0" applyFill="0" applyAlignment="0" applyProtection="0"/>
    <xf numFmtId="0" fontId="59" fillId="0" borderId="28" applyNumberFormat="0" applyFill="0" applyAlignment="0" applyProtection="0"/>
    <xf numFmtId="10" fontId="60" fillId="0" borderId="29" applyFill="0" applyAlignment="0" applyProtection="0">
      <protection locked="0"/>
    </xf>
    <xf numFmtId="0" fontId="61" fillId="51" borderId="0" applyNumberFormat="0" applyBorder="0" applyAlignment="0" applyProtection="0"/>
    <xf numFmtId="0" fontId="61" fillId="51"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7" fillId="0" borderId="0"/>
    <xf numFmtId="37" fontId="62" fillId="0" borderId="0"/>
    <xf numFmtId="0" fontId="7" fillId="0" borderId="0"/>
    <xf numFmtId="0" fontId="5" fillId="0" borderId="0"/>
    <xf numFmtId="0" fontId="7" fillId="0" borderId="0"/>
    <xf numFmtId="0" fontId="7" fillId="0" borderId="0"/>
    <xf numFmtId="0" fontId="7" fillId="0" borderId="0"/>
    <xf numFmtId="0" fontId="63" fillId="0" borderId="0">
      <alignment vertical="top"/>
    </xf>
    <xf numFmtId="0" fontId="63" fillId="0" borderId="0">
      <alignment vertical="top"/>
    </xf>
    <xf numFmtId="0" fontId="63" fillId="0" borderId="0">
      <alignment vertical="top"/>
    </xf>
    <xf numFmtId="0" fontId="4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36" fillId="0" borderId="0"/>
    <xf numFmtId="0" fontId="36" fillId="0" borderId="0"/>
    <xf numFmtId="0" fontId="36" fillId="0" borderId="0"/>
    <xf numFmtId="0" fontId="48"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52" borderId="7" applyNumberFormat="0" applyFont="0" applyAlignment="0" applyProtection="0"/>
    <xf numFmtId="0" fontId="9" fillId="52" borderId="7" applyNumberFormat="0" applyFont="0" applyAlignment="0" applyProtection="0"/>
    <xf numFmtId="0" fontId="5" fillId="52" borderId="7" applyNumberFormat="0" applyFont="0" applyAlignment="0" applyProtection="0"/>
    <xf numFmtId="0" fontId="5" fillId="52" borderId="7" applyNumberFormat="0" applyFont="0" applyAlignment="0" applyProtection="0"/>
    <xf numFmtId="0" fontId="5" fillId="52" borderId="7" applyNumberFormat="0" applyFont="0" applyAlignment="0" applyProtection="0"/>
    <xf numFmtId="0" fontId="5" fillId="52" borderId="7" applyNumberFormat="0" applyFont="0" applyAlignment="0" applyProtection="0"/>
    <xf numFmtId="0" fontId="5" fillId="52" borderId="7" applyNumberFormat="0" applyFont="0" applyAlignment="0" applyProtection="0"/>
    <xf numFmtId="0" fontId="7" fillId="27" borderId="15" applyNumberFormat="0" applyFont="0" applyAlignment="0" applyProtection="0"/>
    <xf numFmtId="0" fontId="5" fillId="52" borderId="7" applyNumberFormat="0" applyFont="0" applyAlignment="0" applyProtection="0"/>
    <xf numFmtId="0" fontId="5" fillId="52" borderId="7" applyNumberFormat="0" applyFont="0" applyAlignment="0" applyProtection="0"/>
    <xf numFmtId="0" fontId="7" fillId="27" borderId="15" applyNumberFormat="0" applyFont="0" applyAlignment="0" applyProtection="0"/>
    <xf numFmtId="3" fontId="39" fillId="0" borderId="0">
      <alignment horizontal="right"/>
    </xf>
    <xf numFmtId="0" fontId="24" fillId="49" borderId="8" applyNumberFormat="0" applyAlignment="0" applyProtection="0"/>
    <xf numFmtId="0" fontId="24" fillId="49" borderId="8" applyNumberFormat="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 fontId="64" fillId="0" borderId="30" applyNumberFormat="0" applyFill="0" applyBorder="0" applyAlignment="0" applyProtection="0"/>
    <xf numFmtId="0" fontId="39" fillId="0" borderId="10" applyBorder="0">
      <alignment horizontal="right"/>
    </xf>
    <xf numFmtId="164" fontId="5" fillId="0" borderId="0"/>
    <xf numFmtId="164" fontId="5" fillId="0" borderId="0"/>
    <xf numFmtId="164" fontId="5" fillId="0" borderId="0"/>
    <xf numFmtId="0" fontId="65" fillId="0" borderId="0" applyNumberFormat="0" applyFill="0" applyBorder="0" applyAlignment="0" applyProtection="0"/>
    <xf numFmtId="0" fontId="65" fillId="0" borderId="0" applyNumberFormat="0" applyFill="0" applyBorder="0" applyAlignment="0" applyProtection="0"/>
    <xf numFmtId="0" fontId="26" fillId="0" borderId="31" applyNumberFormat="0" applyFill="0" applyAlignment="0" applyProtection="0"/>
    <xf numFmtId="0" fontId="26" fillId="0" borderId="31" applyNumberFormat="0" applyFill="0" applyAlignment="0" applyProtection="0"/>
    <xf numFmtId="0" fontId="37" fillId="0" borderId="0" applyNumberFormat="0" applyFill="0" applyBorder="0" applyAlignment="0" applyProtection="0"/>
    <xf numFmtId="0" fontId="66"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7" fillId="0" borderId="0"/>
    <xf numFmtId="43" fontId="5" fillId="0" borderId="0" applyFont="0" applyFill="0" applyBorder="0" applyAlignment="0" applyProtection="0"/>
    <xf numFmtId="0" fontId="67"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36" fillId="0" borderId="0"/>
    <xf numFmtId="0" fontId="5" fillId="0" borderId="0"/>
    <xf numFmtId="0" fontId="7" fillId="0" borderId="0"/>
    <xf numFmtId="0" fontId="5" fillId="0" borderId="0"/>
    <xf numFmtId="0" fontId="7" fillId="0" borderId="0"/>
    <xf numFmtId="0" fontId="5" fillId="0" borderId="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7" fillId="0" borderId="0"/>
    <xf numFmtId="0" fontId="7" fillId="0" borderId="0"/>
    <xf numFmtId="0" fontId="7"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7" fillId="0" borderId="0"/>
    <xf numFmtId="0" fontId="7" fillId="0" borderId="0"/>
    <xf numFmtId="0" fontId="7" fillId="0" borderId="0"/>
    <xf numFmtId="0" fontId="5" fillId="0" borderId="0"/>
    <xf numFmtId="0" fontId="7" fillId="0" borderId="0"/>
    <xf numFmtId="0" fontId="5" fillId="0" borderId="0"/>
    <xf numFmtId="0" fontId="6" fillId="0" borderId="0"/>
    <xf numFmtId="0" fontId="6" fillId="0" borderId="0"/>
    <xf numFmtId="0" fontId="6" fillId="0" borderId="0"/>
    <xf numFmtId="0" fontId="5" fillId="0" borderId="0"/>
    <xf numFmtId="0" fontId="5" fillId="0" borderId="0"/>
    <xf numFmtId="0" fontId="6" fillId="0" borderId="0"/>
    <xf numFmtId="0" fontId="7"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165" fontId="14"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29" fillId="0" borderId="0" applyNumberFormat="0" applyFill="0" applyBorder="0" applyAlignment="0" applyProtection="0">
      <alignment vertical="top"/>
      <protection locked="0"/>
    </xf>
    <xf numFmtId="43"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9" fillId="0" borderId="0" applyNumberFormat="0" applyFill="0" applyBorder="0" applyAlignment="0" applyProtection="0">
      <alignment vertical="top"/>
      <protection locked="0"/>
    </xf>
    <xf numFmtId="0" fontId="7" fillId="0" borderId="0"/>
    <xf numFmtId="0" fontId="7" fillId="0" borderId="0"/>
    <xf numFmtId="0" fontId="5" fillId="0" borderId="0"/>
    <xf numFmtId="0" fontId="7" fillId="0" borderId="0"/>
    <xf numFmtId="0" fontId="5"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5" fillId="0" borderId="0" applyFont="0" applyFill="0" applyBorder="0" applyAlignment="0" applyProtection="0"/>
    <xf numFmtId="165" fontId="14"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6" fillId="0" borderId="0"/>
    <xf numFmtId="0" fontId="6"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14" fillId="0" borderId="0" applyFont="0" applyFill="0" applyBorder="0" applyAlignment="0" applyProtection="0"/>
    <xf numFmtId="43" fontId="6" fillId="0" borderId="0" applyFont="0" applyFill="0" applyBorder="0" applyAlignment="0" applyProtection="0"/>
    <xf numFmtId="165" fontId="14"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165" fontId="14" fillId="0" borderId="0" applyFont="0" applyFill="0" applyBorder="0" applyAlignment="0" applyProtection="0"/>
    <xf numFmtId="165"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9" fillId="0" borderId="0" applyNumberFormat="0" applyFill="0" applyBorder="0" applyAlignment="0" applyProtection="0">
      <alignment vertical="top"/>
      <protection locked="0"/>
    </xf>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36" fillId="0" borderId="0"/>
    <xf numFmtId="43" fontId="5" fillId="0" borderId="0" applyFont="0" applyFill="0" applyBorder="0" applyAlignment="0" applyProtection="0"/>
    <xf numFmtId="0" fontId="68" fillId="0" borderId="0"/>
    <xf numFmtId="0" fontId="5" fillId="0" borderId="0"/>
    <xf numFmtId="0" fontId="5" fillId="0" borderId="0"/>
    <xf numFmtId="165" fontId="14" fillId="0" borderId="0" applyFont="0" applyFill="0" applyBorder="0" applyAlignment="0" applyProtection="0"/>
    <xf numFmtId="0" fontId="5" fillId="0" borderId="0"/>
    <xf numFmtId="165" fontId="14" fillId="0" borderId="0" applyFont="0" applyFill="0" applyBorder="0" applyAlignment="0" applyProtection="0"/>
    <xf numFmtId="44" fontId="5" fillId="0" borderId="0" applyFont="0" applyFill="0" applyBorder="0" applyAlignment="0" applyProtection="0"/>
    <xf numFmtId="165" fontId="14" fillId="0" borderId="0" applyFont="0" applyFill="0" applyBorder="0" applyAlignment="0" applyProtection="0"/>
    <xf numFmtId="0" fontId="5" fillId="0" borderId="0"/>
    <xf numFmtId="165" fontId="14" fillId="0" borderId="0" applyFont="0" applyFill="0" applyBorder="0" applyAlignment="0" applyProtection="0"/>
    <xf numFmtId="0" fontId="6" fillId="0" borderId="0"/>
    <xf numFmtId="0" fontId="5" fillId="0" borderId="0"/>
    <xf numFmtId="165" fontId="14" fillId="0" borderId="0" applyFont="0" applyFill="0" applyBorder="0" applyAlignment="0" applyProtection="0"/>
    <xf numFmtId="165" fontId="14" fillId="0" borderId="0" applyFont="0" applyFill="0" applyBorder="0" applyAlignment="0" applyProtection="0"/>
    <xf numFmtId="43" fontId="7" fillId="0" borderId="0" applyFont="0" applyFill="0" applyBorder="0" applyAlignment="0" applyProtection="0"/>
    <xf numFmtId="165" fontId="14" fillId="0" borderId="0" applyFont="0" applyFill="0" applyBorder="0" applyAlignment="0" applyProtection="0"/>
    <xf numFmtId="43" fontId="5" fillId="0" borderId="0" applyFont="0" applyFill="0" applyBorder="0" applyAlignment="0" applyProtection="0"/>
    <xf numFmtId="165" fontId="14" fillId="0" borderId="0" applyFont="0" applyFill="0" applyBorder="0" applyAlignment="0" applyProtection="0"/>
    <xf numFmtId="0" fontId="9" fillId="0" borderId="0"/>
    <xf numFmtId="0" fontId="36" fillId="0" borderId="0"/>
    <xf numFmtId="40" fontId="36" fillId="0" borderId="0"/>
    <xf numFmtId="0" fontId="7" fillId="0" borderId="0"/>
    <xf numFmtId="0" fontId="36" fillId="0" borderId="0"/>
    <xf numFmtId="44" fontId="36" fillId="0" borderId="0" applyFont="0" applyFill="0" applyBorder="0" applyAlignment="0" applyProtection="0"/>
    <xf numFmtId="0" fontId="36" fillId="0" borderId="0"/>
    <xf numFmtId="0" fontId="5" fillId="0" borderId="0"/>
    <xf numFmtId="165" fontId="5" fillId="0" borderId="0" applyFont="0" applyFill="0" applyBorder="0" applyAlignment="0" applyProtection="0"/>
    <xf numFmtId="0" fontId="7" fillId="0" borderId="0"/>
    <xf numFmtId="164" fontId="5" fillId="0" borderId="0" applyFont="0" applyFill="0" applyBorder="0" applyAlignment="0" applyProtection="0"/>
    <xf numFmtId="0" fontId="36"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48" fillId="0" borderId="0" applyFont="0" applyFill="0" applyBorder="0" applyAlignment="0" applyProtection="0"/>
    <xf numFmtId="165" fontId="14" fillId="0" borderId="0" applyFont="0" applyFill="0" applyBorder="0" applyAlignment="0" applyProtection="0"/>
    <xf numFmtId="0" fontId="5" fillId="0" borderId="0"/>
    <xf numFmtId="0" fontId="5" fillId="0" borderId="0"/>
    <xf numFmtId="0" fontId="7" fillId="0" borderId="0"/>
    <xf numFmtId="37" fontId="62" fillId="0" borderId="0"/>
    <xf numFmtId="0" fontId="36" fillId="0" borderId="0"/>
    <xf numFmtId="0" fontId="36" fillId="0" borderId="0"/>
    <xf numFmtId="0" fontId="48" fillId="0" borderId="0"/>
    <xf numFmtId="0" fontId="5" fillId="0" borderId="0"/>
    <xf numFmtId="0" fontId="5"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5" fillId="0" borderId="0" applyFont="0" applyFill="0" applyBorder="0" applyAlignment="0" applyProtection="0"/>
    <xf numFmtId="0" fontId="67" fillId="0" borderId="0" applyNumberFormat="0" applyFill="0" applyBorder="0" applyAlignment="0" applyProtection="0">
      <alignment vertical="top"/>
      <protection locked="0"/>
    </xf>
    <xf numFmtId="0" fontId="5" fillId="0" borderId="0"/>
    <xf numFmtId="0" fontId="7" fillId="0" borderId="0"/>
    <xf numFmtId="0" fontId="5" fillId="0" borderId="0"/>
    <xf numFmtId="0" fontId="7" fillId="0" borderId="0"/>
    <xf numFmtId="0" fontId="5" fillId="0" borderId="0"/>
    <xf numFmtId="9" fontId="7" fillId="0" borderId="0" applyFont="0" applyFill="0" applyBorder="0" applyAlignment="0" applyProtection="0"/>
    <xf numFmtId="0" fontId="32" fillId="0" borderId="0"/>
    <xf numFmtId="0" fontId="76" fillId="0" borderId="0"/>
    <xf numFmtId="0" fontId="81" fillId="0" borderId="0" applyNumberFormat="0" applyFill="0" applyBorder="0" applyAlignment="0" applyProtection="0"/>
    <xf numFmtId="0" fontId="5" fillId="0" borderId="0"/>
    <xf numFmtId="172" fontId="32" fillId="0" borderId="0"/>
    <xf numFmtId="0" fontId="5" fillId="0" borderId="0"/>
    <xf numFmtId="172" fontId="32" fillId="0" borderId="0"/>
    <xf numFmtId="0" fontId="5" fillId="0" borderId="0"/>
  </cellStyleXfs>
  <cellXfs count="653">
    <xf numFmtId="0" fontId="0" fillId="0" borderId="0" xfId="0"/>
    <xf numFmtId="0" fontId="28" fillId="0" borderId="0" xfId="0" applyFont="1"/>
    <xf numFmtId="0" fontId="4" fillId="0" borderId="0" xfId="0" applyFont="1" applyAlignment="1">
      <alignment horizontal="center" vertical="center" wrapText="1"/>
    </xf>
    <xf numFmtId="0" fontId="4" fillId="0" borderId="0" xfId="0" applyFont="1"/>
    <xf numFmtId="0" fontId="7" fillId="0" borderId="0" xfId="0" applyFont="1"/>
    <xf numFmtId="0" fontId="30" fillId="0" borderId="0" xfId="2" applyFont="1"/>
    <xf numFmtId="43" fontId="0" fillId="0" borderId="0" xfId="1" applyFont="1" applyFill="1" applyBorder="1"/>
    <xf numFmtId="0" fontId="0" fillId="0" borderId="0" xfId="0" applyAlignment="1">
      <alignment horizontal="center" wrapText="1"/>
    </xf>
    <xf numFmtId="0" fontId="0" fillId="0" borderId="0" xfId="0" applyAlignment="1">
      <alignment horizontal="center"/>
    </xf>
    <xf numFmtId="0" fontId="34" fillId="0" borderId="0" xfId="0" applyFont="1"/>
    <xf numFmtId="2" fontId="0" fillId="0" borderId="0" xfId="0" applyNumberFormat="1"/>
    <xf numFmtId="43" fontId="0" fillId="0" borderId="0" xfId="0" applyNumberFormat="1"/>
    <xf numFmtId="0" fontId="0" fillId="0" borderId="0" xfId="0" applyAlignment="1">
      <alignment horizontal="center" vertical="center" wrapText="1"/>
    </xf>
    <xf numFmtId="0" fontId="30" fillId="0" borderId="0" xfId="0" applyFont="1"/>
    <xf numFmtId="0" fontId="0" fillId="0" borderId="34" xfId="0" applyBorder="1"/>
    <xf numFmtId="0" fontId="0" fillId="0" borderId="0" xfId="0" applyAlignment="1">
      <alignment horizontal="left"/>
    </xf>
    <xf numFmtId="2" fontId="0" fillId="0" borderId="0" xfId="0" applyNumberFormat="1" applyAlignment="1">
      <alignment horizontal="center"/>
    </xf>
    <xf numFmtId="14" fontId="0" fillId="0" borderId="0" xfId="0" applyNumberFormat="1"/>
    <xf numFmtId="0" fontId="3" fillId="0" borderId="0" xfId="0" applyFont="1" applyAlignment="1">
      <alignment horizontal="center"/>
    </xf>
    <xf numFmtId="2" fontId="3" fillId="0" borderId="0" xfId="0" applyNumberFormat="1" applyFont="1"/>
    <xf numFmtId="0" fontId="4" fillId="0" borderId="0" xfId="0" applyFont="1" applyAlignment="1">
      <alignment horizontal="left" vertical="center"/>
    </xf>
    <xf numFmtId="43" fontId="0" fillId="63" borderId="38" xfId="0" applyNumberFormat="1" applyFill="1" applyBorder="1"/>
    <xf numFmtId="169" fontId="0" fillId="0" borderId="0" xfId="0" applyNumberFormat="1" applyAlignment="1">
      <alignment horizontal="center"/>
    </xf>
    <xf numFmtId="1" fontId="0" fillId="0" borderId="0" xfId="0" applyNumberFormat="1"/>
    <xf numFmtId="0" fontId="2" fillId="0" borderId="0" xfId="0" applyFont="1"/>
    <xf numFmtId="0" fontId="73" fillId="0" borderId="0" xfId="0" applyFont="1"/>
    <xf numFmtId="3" fontId="73" fillId="0" borderId="0" xfId="0" applyNumberFormat="1" applyFont="1"/>
    <xf numFmtId="0" fontId="2" fillId="0" borderId="0" xfId="0" applyFont="1" applyAlignment="1">
      <alignment horizontal="center" vertical="center" wrapText="1"/>
    </xf>
    <xf numFmtId="0" fontId="74" fillId="0" borderId="39" xfId="2" applyFont="1" applyBorder="1" applyAlignment="1">
      <alignment horizontal="center"/>
    </xf>
    <xf numFmtId="43" fontId="2" fillId="0" borderId="0" xfId="1" applyFont="1" applyFill="1" applyBorder="1"/>
    <xf numFmtId="0" fontId="36" fillId="0" borderId="17" xfId="0" applyFont="1" applyBorder="1" applyAlignment="1">
      <alignment horizontal="center" vertical="top" wrapText="1"/>
    </xf>
    <xf numFmtId="0" fontId="75" fillId="26" borderId="19" xfId="0" applyFont="1" applyFill="1" applyBorder="1" applyAlignment="1">
      <alignment horizontal="center" vertical="top" wrapText="1"/>
    </xf>
    <xf numFmtId="0" fontId="32" fillId="0" borderId="0" xfId="0" applyFont="1" applyAlignment="1">
      <alignment vertical="top" wrapText="1"/>
    </xf>
    <xf numFmtId="1" fontId="36" fillId="0" borderId="18" xfId="0" applyNumberFormat="1" applyFont="1" applyBorder="1" applyAlignment="1">
      <alignment horizontal="center" vertical="top" wrapText="1"/>
    </xf>
    <xf numFmtId="0" fontId="32" fillId="0" borderId="0" xfId="0" applyFont="1" applyAlignment="1">
      <alignment horizontal="center"/>
    </xf>
    <xf numFmtId="0" fontId="32" fillId="0" borderId="0" xfId="0" applyFont="1"/>
    <xf numFmtId="0" fontId="32" fillId="0" borderId="0" xfId="0" applyFont="1" applyAlignment="1">
      <alignment horizontal="center" vertical="center" wrapText="1"/>
    </xf>
    <xf numFmtId="0" fontId="32" fillId="0" borderId="0" xfId="0" applyFont="1" applyAlignment="1">
      <alignment horizontal="center" wrapText="1"/>
    </xf>
    <xf numFmtId="169" fontId="32" fillId="0" borderId="0" xfId="0" applyNumberFormat="1" applyFont="1"/>
    <xf numFmtId="0" fontId="0" fillId="55" borderId="37" xfId="0" applyFill="1" applyBorder="1" applyAlignment="1">
      <alignment horizontal="center"/>
    </xf>
    <xf numFmtId="0" fontId="0" fillId="22" borderId="37" xfId="0" applyFill="1" applyBorder="1" applyAlignment="1">
      <alignment horizontal="center"/>
    </xf>
    <xf numFmtId="2" fontId="71" fillId="58" borderId="18" xfId="0" applyNumberFormat="1" applyFont="1" applyFill="1" applyBorder="1" applyAlignment="1">
      <alignment horizontal="center" vertical="center" wrapText="1"/>
    </xf>
    <xf numFmtId="0" fontId="78" fillId="0" borderId="0" xfId="0" applyFont="1"/>
    <xf numFmtId="166" fontId="78" fillId="0" borderId="50" xfId="0" applyNumberFormat="1" applyFont="1" applyBorder="1"/>
    <xf numFmtId="0" fontId="79" fillId="0" borderId="37" xfId="0" applyFont="1" applyBorder="1"/>
    <xf numFmtId="0" fontId="79" fillId="0" borderId="12" xfId="0" applyFont="1" applyBorder="1"/>
    <xf numFmtId="43" fontId="0" fillId="63" borderId="37" xfId="0" applyNumberFormat="1" applyFill="1" applyBorder="1"/>
    <xf numFmtId="0" fontId="32" fillId="26" borderId="35" xfId="0" applyFont="1" applyFill="1" applyBorder="1" applyAlignment="1">
      <alignment horizontal="center" vertical="top" wrapText="1"/>
    </xf>
    <xf numFmtId="2" fontId="32" fillId="25" borderId="17" xfId="0" applyNumberFormat="1" applyFont="1" applyFill="1" applyBorder="1" applyAlignment="1">
      <alignment horizontal="center" vertical="top" wrapText="1"/>
    </xf>
    <xf numFmtId="2" fontId="32" fillId="25" borderId="18" xfId="0" applyNumberFormat="1" applyFont="1" applyFill="1" applyBorder="1" applyAlignment="1">
      <alignment horizontal="center" vertical="top" wrapText="1"/>
    </xf>
    <xf numFmtId="2" fontId="75" fillId="25" borderId="19" xfId="0" applyNumberFormat="1" applyFont="1" applyFill="1" applyBorder="1" applyAlignment="1">
      <alignment horizontal="center" vertical="top" wrapText="1"/>
    </xf>
    <xf numFmtId="1" fontId="36" fillId="0" borderId="45" xfId="0" applyNumberFormat="1" applyFont="1" applyBorder="1" applyAlignment="1">
      <alignment horizontal="center" vertical="top" wrapText="1"/>
    </xf>
    <xf numFmtId="2" fontId="75" fillId="25" borderId="18" xfId="0" applyNumberFormat="1" applyFont="1" applyFill="1" applyBorder="1" applyAlignment="1">
      <alignment horizontal="center" vertical="top" wrapText="1"/>
    </xf>
    <xf numFmtId="6" fontId="0" fillId="0" borderId="0" xfId="0" applyNumberFormat="1"/>
    <xf numFmtId="0" fontId="81" fillId="0" borderId="0" xfId="914" applyFill="1" applyBorder="1"/>
    <xf numFmtId="0" fontId="33" fillId="22" borderId="18" xfId="0" applyFont="1" applyFill="1" applyBorder="1" applyAlignment="1">
      <alignment horizontal="center" vertical="center" wrapText="1"/>
    </xf>
    <xf numFmtId="0" fontId="33" fillId="22" borderId="19" xfId="0" applyFont="1" applyFill="1" applyBorder="1" applyAlignment="1">
      <alignment horizontal="center" vertical="center" wrapText="1"/>
    </xf>
    <xf numFmtId="0" fontId="33" fillId="22" borderId="20" xfId="0" applyFont="1" applyFill="1" applyBorder="1" applyAlignment="1">
      <alignment horizontal="left"/>
    </xf>
    <xf numFmtId="0" fontId="31" fillId="22" borderId="21" xfId="0" applyFont="1" applyFill="1" applyBorder="1"/>
    <xf numFmtId="3" fontId="33" fillId="22" borderId="22" xfId="0" applyNumberFormat="1" applyFont="1" applyFill="1" applyBorder="1"/>
    <xf numFmtId="0" fontId="0" fillId="0" borderId="0" xfId="0" applyAlignment="1">
      <alignment vertical="center"/>
    </xf>
    <xf numFmtId="0" fontId="32" fillId="22" borderId="46" xfId="0" applyFont="1" applyFill="1" applyBorder="1" applyAlignment="1">
      <alignment horizontal="center" vertical="center" wrapText="1"/>
    </xf>
    <xf numFmtId="0" fontId="32" fillId="54" borderId="17" xfId="0" applyFont="1" applyFill="1" applyBorder="1" applyAlignment="1">
      <alignment horizontal="center" vertical="center" wrapText="1"/>
    </xf>
    <xf numFmtId="0" fontId="32" fillId="54" borderId="18" xfId="0" applyFont="1" applyFill="1" applyBorder="1" applyAlignment="1">
      <alignment horizontal="center" vertical="center" wrapText="1"/>
    </xf>
    <xf numFmtId="0" fontId="32" fillId="54" borderId="19" xfId="0" applyFont="1" applyFill="1" applyBorder="1" applyAlignment="1">
      <alignment horizontal="center" vertical="center" wrapText="1"/>
    </xf>
    <xf numFmtId="0" fontId="32" fillId="22" borderId="47" xfId="0" applyFont="1" applyFill="1" applyBorder="1" applyAlignment="1">
      <alignment horizontal="center" vertical="center" wrapText="1"/>
    </xf>
    <xf numFmtId="0" fontId="32" fillId="57" borderId="17" xfId="0" applyFont="1" applyFill="1" applyBorder="1" applyAlignment="1">
      <alignment horizontal="center" vertical="center" wrapText="1"/>
    </xf>
    <xf numFmtId="0" fontId="32" fillId="57" borderId="18" xfId="0" applyFont="1" applyFill="1" applyBorder="1" applyAlignment="1">
      <alignment horizontal="center" vertical="center" wrapText="1"/>
    </xf>
    <xf numFmtId="0" fontId="36" fillId="22" borderId="37" xfId="2" applyFont="1" applyFill="1" applyBorder="1"/>
    <xf numFmtId="0" fontId="36" fillId="22" borderId="13" xfId="2" applyFont="1" applyFill="1" applyBorder="1"/>
    <xf numFmtId="0" fontId="32" fillId="0" borderId="17" xfId="0" applyFont="1" applyBorder="1" applyAlignment="1">
      <alignment horizontal="center" vertical="center" wrapText="1"/>
    </xf>
    <xf numFmtId="0" fontId="32" fillId="0" borderId="18" xfId="0" applyFont="1" applyBorder="1" applyAlignment="1">
      <alignment horizontal="center" vertical="center" wrapText="1"/>
    </xf>
    <xf numFmtId="0" fontId="32" fillId="0" borderId="19" xfId="0" applyFont="1" applyBorder="1" applyAlignment="1">
      <alignment horizontal="center" vertical="center" wrapText="1"/>
    </xf>
    <xf numFmtId="2" fontId="71" fillId="58" borderId="17" xfId="0" applyNumberFormat="1" applyFont="1" applyFill="1" applyBorder="1" applyAlignment="1">
      <alignment horizontal="center" vertical="center" wrapText="1"/>
    </xf>
    <xf numFmtId="2" fontId="71" fillId="58" borderId="19" xfId="0" applyNumberFormat="1" applyFont="1" applyFill="1" applyBorder="1" applyAlignment="1">
      <alignment horizontal="center" vertical="center" wrapText="1"/>
    </xf>
    <xf numFmtId="43" fontId="0" fillId="53" borderId="40" xfId="0" applyNumberFormat="1" applyFill="1" applyBorder="1"/>
    <xf numFmtId="43" fontId="0" fillId="0" borderId="0" xfId="1" applyFont="1"/>
    <xf numFmtId="166" fontId="77" fillId="0" borderId="0" xfId="1" applyNumberFormat="1" applyFont="1" applyFill="1" applyBorder="1"/>
    <xf numFmtId="0" fontId="77" fillId="0" borderId="0" xfId="0" applyFont="1"/>
    <xf numFmtId="43" fontId="77" fillId="0" borderId="0" xfId="1" applyFont="1" applyFill="1" applyBorder="1" applyAlignment="1">
      <alignment horizontal="left"/>
    </xf>
    <xf numFmtId="0" fontId="69" fillId="0" borderId="0" xfId="0" applyFont="1" applyAlignment="1">
      <alignment horizontal="center" wrapText="1"/>
    </xf>
    <xf numFmtId="0" fontId="32" fillId="69" borderId="54" xfId="0" applyFont="1" applyFill="1" applyBorder="1"/>
    <xf numFmtId="3" fontId="32" fillId="69" borderId="54" xfId="1" applyNumberFormat="1" applyFont="1" applyFill="1" applyBorder="1"/>
    <xf numFmtId="3" fontId="32" fillId="69" borderId="55" xfId="1" applyNumberFormat="1" applyFont="1" applyFill="1" applyBorder="1"/>
    <xf numFmtId="0" fontId="86" fillId="69" borderId="56" xfId="0" applyFont="1" applyFill="1" applyBorder="1"/>
    <xf numFmtId="3" fontId="32" fillId="69" borderId="0" xfId="1" applyNumberFormat="1" applyFont="1" applyFill="1" applyBorder="1"/>
    <xf numFmtId="3" fontId="32" fillId="69" borderId="57" xfId="1" applyNumberFormat="1" applyFont="1" applyFill="1" applyBorder="1"/>
    <xf numFmtId="0" fontId="32" fillId="69" borderId="56" xfId="0" applyFont="1" applyFill="1" applyBorder="1"/>
    <xf numFmtId="0" fontId="86" fillId="69" borderId="58" xfId="0" applyFont="1" applyFill="1" applyBorder="1"/>
    <xf numFmtId="0" fontId="86" fillId="69" borderId="59" xfId="0" applyFont="1" applyFill="1" applyBorder="1"/>
    <xf numFmtId="0" fontId="86" fillId="69" borderId="60" xfId="0" applyFont="1" applyFill="1" applyBorder="1"/>
    <xf numFmtId="0" fontId="32" fillId="69" borderId="0" xfId="0" applyFont="1" applyFill="1"/>
    <xf numFmtId="17" fontId="32" fillId="69" borderId="0" xfId="0" applyNumberFormat="1" applyFont="1" applyFill="1"/>
    <xf numFmtId="0" fontId="32" fillId="69" borderId="0" xfId="0" applyFont="1" applyFill="1" applyAlignment="1">
      <alignment horizontal="center"/>
    </xf>
    <xf numFmtId="0" fontId="76" fillId="0" borderId="0" xfId="0" applyFont="1"/>
    <xf numFmtId="0" fontId="89" fillId="0" borderId="0" xfId="0" applyFont="1" applyAlignment="1">
      <alignment horizontal="left"/>
    </xf>
    <xf numFmtId="0" fontId="76" fillId="0" borderId="0" xfId="0" applyFont="1" applyAlignment="1">
      <alignment horizontal="center"/>
    </xf>
    <xf numFmtId="0" fontId="89" fillId="0" borderId="0" xfId="0" applyFont="1" applyAlignment="1">
      <alignment horizontal="center"/>
    </xf>
    <xf numFmtId="0" fontId="76" fillId="0" borderId="0" xfId="0" applyFont="1" applyAlignment="1">
      <alignment horizontal="left"/>
    </xf>
    <xf numFmtId="0" fontId="33" fillId="0" borderId="0" xfId="0" applyFont="1" applyAlignment="1">
      <alignment horizontal="left"/>
    </xf>
    <xf numFmtId="0" fontId="89" fillId="0" borderId="0" xfId="0" applyFont="1" applyAlignment="1">
      <alignment horizontal="right"/>
    </xf>
    <xf numFmtId="0" fontId="90" fillId="0" borderId="0" xfId="0" applyFont="1"/>
    <xf numFmtId="0" fontId="1" fillId="0" borderId="0" xfId="0" applyFont="1"/>
    <xf numFmtId="0" fontId="0" fillId="56" borderId="32" xfId="1" applyNumberFormat="1" applyFont="1" applyFill="1" applyBorder="1" applyAlignment="1" applyProtection="1">
      <alignment horizontal="center"/>
      <protection locked="0"/>
    </xf>
    <xf numFmtId="43" fontId="0" fillId="56" borderId="14" xfId="1" applyFont="1" applyFill="1" applyBorder="1" applyProtection="1">
      <protection locked="0"/>
    </xf>
    <xf numFmtId="4" fontId="36" fillId="22" borderId="39" xfId="2" applyNumberFormat="1" applyFont="1" applyFill="1" applyBorder="1"/>
    <xf numFmtId="4" fontId="36" fillId="57" borderId="36" xfId="2" applyNumberFormat="1" applyFont="1" applyFill="1" applyBorder="1"/>
    <xf numFmtId="4" fontId="36" fillId="57" borderId="37" xfId="2" applyNumberFormat="1" applyFont="1" applyFill="1" applyBorder="1"/>
    <xf numFmtId="4" fontId="36" fillId="57" borderId="39" xfId="2" applyNumberFormat="1" applyFont="1" applyFill="1" applyBorder="1"/>
    <xf numFmtId="4" fontId="36" fillId="57" borderId="17" xfId="2" applyNumberFormat="1" applyFont="1" applyFill="1" applyBorder="1"/>
    <xf numFmtId="4" fontId="36" fillId="57" borderId="18" xfId="2" applyNumberFormat="1" applyFont="1" applyFill="1" applyBorder="1"/>
    <xf numFmtId="0" fontId="72" fillId="63" borderId="18" xfId="0" applyFont="1" applyFill="1" applyBorder="1" applyAlignment="1">
      <alignment horizontal="center" vertical="center" wrapText="1"/>
    </xf>
    <xf numFmtId="0" fontId="91" fillId="0" borderId="0" xfId="0" applyFont="1" applyAlignment="1">
      <alignment horizontal="center" vertical="center" wrapText="1"/>
    </xf>
    <xf numFmtId="0" fontId="91" fillId="0" borderId="34" xfId="0" applyFont="1" applyBorder="1"/>
    <xf numFmtId="0" fontId="91" fillId="0" borderId="0" xfId="0" applyFont="1"/>
    <xf numFmtId="0" fontId="36" fillId="69" borderId="53" xfId="0" applyFont="1" applyFill="1" applyBorder="1"/>
    <xf numFmtId="4" fontId="32" fillId="22" borderId="17" xfId="0" applyNumberFormat="1" applyFont="1" applyFill="1" applyBorder="1"/>
    <xf numFmtId="4" fontId="32" fillId="22" borderId="19" xfId="0" applyNumberFormat="1" applyFont="1" applyFill="1" applyBorder="1"/>
    <xf numFmtId="0" fontId="28" fillId="70" borderId="0" xfId="0" applyFont="1" applyFill="1"/>
    <xf numFmtId="166" fontId="0" fillId="70" borderId="0" xfId="1" applyNumberFormat="1" applyFont="1" applyFill="1" applyProtection="1"/>
    <xf numFmtId="0" fontId="0" fillId="70" borderId="0" xfId="0" applyFill="1"/>
    <xf numFmtId="166" fontId="0" fillId="70" borderId="0" xfId="0" applyNumberFormat="1" applyFill="1"/>
    <xf numFmtId="166" fontId="0" fillId="70" borderId="33" xfId="0" applyNumberFormat="1" applyFill="1" applyBorder="1"/>
    <xf numFmtId="166" fontId="0" fillId="70" borderId="63" xfId="1" applyNumberFormat="1" applyFont="1" applyFill="1" applyBorder="1" applyProtection="1"/>
    <xf numFmtId="166" fontId="3" fillId="70" borderId="10" xfId="1" applyNumberFormat="1" applyFont="1" applyFill="1" applyBorder="1" applyAlignment="1" applyProtection="1">
      <alignment horizontal="center"/>
    </xf>
    <xf numFmtId="0" fontId="32" fillId="69" borderId="53" xfId="0" quotePrefix="1" applyFont="1" applyFill="1" applyBorder="1"/>
    <xf numFmtId="3" fontId="33" fillId="22" borderId="61" xfId="0" applyNumberFormat="1" applyFont="1" applyFill="1" applyBorder="1"/>
    <xf numFmtId="0" fontId="31" fillId="69" borderId="56" xfId="0" applyFont="1" applyFill="1" applyBorder="1"/>
    <xf numFmtId="0" fontId="31" fillId="69" borderId="0" xfId="0" applyFont="1" applyFill="1"/>
    <xf numFmtId="3" fontId="31" fillId="69" borderId="0" xfId="1" applyNumberFormat="1" applyFont="1" applyFill="1" applyBorder="1"/>
    <xf numFmtId="3" fontId="33" fillId="69" borderId="57" xfId="0" applyNumberFormat="1" applyFont="1" applyFill="1" applyBorder="1"/>
    <xf numFmtId="3" fontId="32" fillId="22" borderId="61" xfId="1" applyNumberFormat="1" applyFont="1" applyFill="1" applyBorder="1"/>
    <xf numFmtId="0" fontId="1" fillId="69" borderId="56" xfId="0" applyFont="1" applyFill="1" applyBorder="1"/>
    <xf numFmtId="0" fontId="1" fillId="69" borderId="0" xfId="0" applyFont="1" applyFill="1"/>
    <xf numFmtId="2" fontId="1" fillId="69" borderId="0" xfId="0" applyNumberFormat="1" applyFont="1" applyFill="1"/>
    <xf numFmtId="4" fontId="1" fillId="69" borderId="0" xfId="0" applyNumberFormat="1" applyFont="1" applyFill="1"/>
    <xf numFmtId="3" fontId="1" fillId="69" borderId="57" xfId="1" applyNumberFormat="1" applyFont="1" applyFill="1" applyBorder="1"/>
    <xf numFmtId="0" fontId="94" fillId="0" borderId="0" xfId="0" applyFont="1"/>
    <xf numFmtId="0" fontId="36" fillId="0" borderId="62" xfId="2" applyFont="1" applyBorder="1"/>
    <xf numFmtId="0" fontId="36" fillId="22" borderId="62" xfId="2" applyFont="1" applyFill="1" applyBorder="1"/>
    <xf numFmtId="0" fontId="0" fillId="0" borderId="0" xfId="0" applyAlignment="1">
      <alignment vertical="top" wrapText="1"/>
    </xf>
    <xf numFmtId="0" fontId="36" fillId="0" borderId="18" xfId="0" applyFont="1" applyBorder="1" applyAlignment="1">
      <alignment horizontal="center" vertical="top" wrapText="1"/>
    </xf>
    <xf numFmtId="0" fontId="0" fillId="0" borderId="0" xfId="1" applyNumberFormat="1" applyFont="1" applyFill="1" applyBorder="1"/>
    <xf numFmtId="2" fontId="0" fillId="22" borderId="0" xfId="0" applyNumberFormat="1" applyFill="1" applyAlignment="1">
      <alignment horizontal="center"/>
    </xf>
    <xf numFmtId="3" fontId="0" fillId="68" borderId="38" xfId="0" applyNumberFormat="1" applyFill="1" applyBorder="1"/>
    <xf numFmtId="3" fontId="0" fillId="68" borderId="40" xfId="0" applyNumberFormat="1" applyFill="1" applyBorder="1"/>
    <xf numFmtId="43" fontId="0" fillId="53" borderId="39" xfId="0" applyNumberFormat="1" applyFill="1" applyBorder="1"/>
    <xf numFmtId="0" fontId="1" fillId="0" borderId="37" xfId="0" applyFont="1" applyBorder="1"/>
    <xf numFmtId="2" fontId="32" fillId="69" borderId="54" xfId="0" applyNumberFormat="1" applyFont="1" applyFill="1" applyBorder="1" applyAlignment="1">
      <alignment horizontal="center"/>
    </xf>
    <xf numFmtId="2" fontId="32" fillId="69" borderId="0" xfId="0" applyNumberFormat="1" applyFont="1" applyFill="1" applyAlignment="1">
      <alignment horizontal="center"/>
    </xf>
    <xf numFmtId="0" fontId="0" fillId="56" borderId="14" xfId="1" applyNumberFormat="1" applyFont="1" applyFill="1" applyBorder="1" applyProtection="1">
      <protection locked="0"/>
    </xf>
    <xf numFmtId="3" fontId="1" fillId="0" borderId="0" xfId="0" applyNumberFormat="1" applyFont="1"/>
    <xf numFmtId="0" fontId="1" fillId="0" borderId="46" xfId="0" applyFont="1" applyBorder="1" applyAlignment="1">
      <alignment horizontal="center"/>
    </xf>
    <xf numFmtId="0" fontId="1" fillId="0" borderId="67" xfId="0" applyFont="1" applyBorder="1"/>
    <xf numFmtId="2" fontId="1" fillId="0" borderId="67" xfId="0" applyNumberFormat="1" applyFont="1" applyBorder="1" applyAlignment="1">
      <alignment horizontal="right"/>
    </xf>
    <xf numFmtId="166" fontId="1" fillId="54" borderId="46" xfId="1" applyNumberFormat="1" applyFont="1" applyFill="1" applyBorder="1" applyAlignment="1">
      <alignment horizontal="center" vertical="center" wrapText="1"/>
    </xf>
    <xf numFmtId="166" fontId="1" fillId="54" borderId="48" xfId="1" applyNumberFormat="1" applyFont="1" applyFill="1" applyBorder="1" applyAlignment="1">
      <alignment horizontal="center" vertical="center" wrapText="1"/>
    </xf>
    <xf numFmtId="166" fontId="1" fillId="23" borderId="37" xfId="1" applyNumberFormat="1" applyFont="1" applyFill="1" applyBorder="1" applyAlignment="1">
      <alignment horizontal="center" vertical="center" wrapText="1"/>
    </xf>
    <xf numFmtId="41" fontId="1" fillId="23" borderId="37" xfId="0" applyNumberFormat="1" applyFont="1" applyFill="1" applyBorder="1" applyAlignment="1">
      <alignment horizontal="center" vertical="center" wrapText="1"/>
    </xf>
    <xf numFmtId="41" fontId="1" fillId="23" borderId="38" xfId="0" applyNumberFormat="1" applyFont="1" applyFill="1" applyBorder="1" applyAlignment="1">
      <alignment horizontal="center" vertical="center" wrapText="1"/>
    </xf>
    <xf numFmtId="41" fontId="1" fillId="0" borderId="36" xfId="1" applyNumberFormat="1" applyFont="1" applyFill="1" applyBorder="1" applyAlignment="1">
      <alignment horizontal="center" vertical="center" wrapText="1"/>
    </xf>
    <xf numFmtId="166" fontId="1" fillId="0" borderId="48" xfId="1" applyNumberFormat="1" applyFont="1" applyFill="1" applyBorder="1" applyAlignment="1">
      <alignment horizontal="center" vertical="center" wrapText="1"/>
    </xf>
    <xf numFmtId="41"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1" fillId="0" borderId="39" xfId="0" applyFont="1" applyBorder="1" applyAlignment="1">
      <alignment horizontal="center" wrapText="1"/>
    </xf>
    <xf numFmtId="2" fontId="1" fillId="0" borderId="37" xfId="0" applyNumberFormat="1" applyFont="1" applyBorder="1" applyAlignment="1">
      <alignment horizontal="right"/>
    </xf>
    <xf numFmtId="166" fontId="1" fillId="54" borderId="39" xfId="1" applyNumberFormat="1" applyFont="1" applyFill="1" applyBorder="1" applyAlignment="1">
      <alignment horizontal="center" vertical="center" wrapText="1"/>
    </xf>
    <xf numFmtId="166" fontId="1" fillId="0" borderId="40" xfId="1" applyNumberFormat="1" applyFont="1" applyFill="1" applyBorder="1" applyAlignment="1">
      <alignment horizontal="center" vertical="center" wrapText="1"/>
    </xf>
    <xf numFmtId="0" fontId="1" fillId="0" borderId="39" xfId="0" applyFont="1" applyBorder="1" applyAlignment="1">
      <alignment horizontal="center"/>
    </xf>
    <xf numFmtId="0" fontId="1" fillId="0" borderId="41" xfId="0" applyFont="1" applyBorder="1" applyAlignment="1">
      <alignment horizontal="center"/>
    </xf>
    <xf numFmtId="0" fontId="1" fillId="0" borderId="42" xfId="1" applyNumberFormat="1" applyFont="1" applyFill="1" applyBorder="1"/>
    <xf numFmtId="0" fontId="1" fillId="0" borderId="44" xfId="0" applyFont="1" applyBorder="1"/>
    <xf numFmtId="2" fontId="1" fillId="0" borderId="44" xfId="0" applyNumberFormat="1" applyFont="1" applyBorder="1" applyAlignment="1">
      <alignment horizontal="right"/>
    </xf>
    <xf numFmtId="166" fontId="1" fillId="54" borderId="41" xfId="1" applyNumberFormat="1" applyFont="1" applyFill="1" applyBorder="1" applyAlignment="1">
      <alignment horizontal="center" vertical="center" wrapText="1"/>
    </xf>
    <xf numFmtId="166" fontId="1" fillId="23" borderId="44" xfId="1" applyNumberFormat="1" applyFont="1" applyFill="1" applyBorder="1" applyAlignment="1">
      <alignment horizontal="center" vertical="center" wrapText="1"/>
    </xf>
    <xf numFmtId="41" fontId="1" fillId="23" borderId="42" xfId="0" applyNumberFormat="1" applyFont="1" applyFill="1" applyBorder="1" applyAlignment="1">
      <alignment horizontal="center" vertical="center" wrapText="1"/>
    </xf>
    <xf numFmtId="41" fontId="1" fillId="23" borderId="43" xfId="0" applyNumberFormat="1" applyFont="1" applyFill="1" applyBorder="1" applyAlignment="1">
      <alignment horizontal="center" vertical="center" wrapText="1"/>
    </xf>
    <xf numFmtId="41" fontId="1" fillId="0" borderId="69" xfId="1" applyNumberFormat="1" applyFont="1" applyFill="1" applyBorder="1" applyAlignment="1">
      <alignment horizontal="center" vertical="center" wrapText="1"/>
    </xf>
    <xf numFmtId="166" fontId="1" fillId="0" borderId="43" xfId="1" applyNumberFormat="1" applyFont="1" applyFill="1" applyBorder="1" applyAlignment="1">
      <alignment horizontal="center" vertical="center" wrapText="1"/>
    </xf>
    <xf numFmtId="0" fontId="1" fillId="0" borderId="0" xfId="1" applyNumberFormat="1" applyFont="1" applyFill="1" applyBorder="1"/>
    <xf numFmtId="43" fontId="1" fillId="0" borderId="0" xfId="1" applyFont="1" applyFill="1" applyBorder="1"/>
    <xf numFmtId="41" fontId="1" fillId="0" borderId="55" xfId="1" applyNumberFormat="1" applyFont="1" applyFill="1" applyBorder="1" applyAlignment="1">
      <alignment horizontal="center" vertical="center" wrapText="1"/>
    </xf>
    <xf numFmtId="171" fontId="1" fillId="0" borderId="0" xfId="0" applyNumberFormat="1" applyFont="1" applyAlignment="1">
      <alignment horizontal="center" vertical="center" wrapText="1"/>
    </xf>
    <xf numFmtId="0" fontId="32" fillId="0" borderId="62" xfId="0" applyFont="1" applyBorder="1" applyAlignment="1">
      <alignment horizontal="center" vertical="center" wrapText="1"/>
    </xf>
    <xf numFmtId="4" fontId="36" fillId="22" borderId="62" xfId="2" applyNumberFormat="1" applyFont="1" applyFill="1" applyBorder="1"/>
    <xf numFmtId="0" fontId="36" fillId="21" borderId="62" xfId="2" applyFont="1" applyFill="1" applyBorder="1"/>
    <xf numFmtId="0" fontId="79" fillId="0" borderId="62" xfId="0" applyFont="1" applyBorder="1"/>
    <xf numFmtId="1" fontId="80" fillId="0" borderId="62" xfId="0" applyNumberFormat="1" applyFont="1" applyBorder="1"/>
    <xf numFmtId="0" fontId="72" fillId="63" borderId="19" xfId="0" applyFont="1" applyFill="1" applyBorder="1" applyAlignment="1">
      <alignment horizontal="center" vertical="center" wrapText="1"/>
    </xf>
    <xf numFmtId="43" fontId="0" fillId="53" borderId="36" xfId="0" applyNumberFormat="1" applyFill="1" applyBorder="1"/>
    <xf numFmtId="43" fontId="0" fillId="53" borderId="38" xfId="0" applyNumberFormat="1" applyFill="1" applyBorder="1"/>
    <xf numFmtId="0" fontId="4" fillId="53" borderId="17" xfId="0" applyFont="1" applyFill="1" applyBorder="1" applyAlignment="1">
      <alignment horizontal="center" vertical="center" wrapText="1"/>
    </xf>
    <xf numFmtId="0" fontId="84" fillId="73" borderId="16" xfId="87" applyFont="1" applyFill="1" applyBorder="1" applyAlignment="1">
      <alignment horizontal="center" vertical="center" wrapText="1"/>
    </xf>
    <xf numFmtId="0" fontId="30" fillId="0" borderId="71" xfId="0" applyFont="1" applyBorder="1" applyAlignment="1">
      <alignment vertical="center"/>
    </xf>
    <xf numFmtId="0" fontId="30" fillId="0" borderId="0" xfId="0" applyFont="1" applyAlignment="1">
      <alignment vertical="center"/>
    </xf>
    <xf numFmtId="0" fontId="30" fillId="0" borderId="72" xfId="0" applyFont="1" applyBorder="1" applyAlignment="1">
      <alignment vertical="center"/>
    </xf>
    <xf numFmtId="14" fontId="84" fillId="74" borderId="16" xfId="912" applyNumberFormat="1" applyFont="1" applyFill="1" applyBorder="1" applyAlignment="1">
      <alignment horizontal="center" vertical="center" wrapText="1"/>
    </xf>
    <xf numFmtId="171" fontId="84" fillId="74" borderId="0" xfId="912" applyNumberFormat="1" applyFont="1" applyFill="1" applyAlignment="1">
      <alignment horizontal="center" vertical="center" wrapText="1"/>
    </xf>
    <xf numFmtId="2" fontId="0" fillId="0" borderId="0" xfId="0" applyNumberFormat="1" applyAlignment="1">
      <alignment horizontal="center" wrapText="1"/>
    </xf>
    <xf numFmtId="2" fontId="0" fillId="0" borderId="14" xfId="0" applyNumberFormat="1" applyBorder="1"/>
    <xf numFmtId="1" fontId="3" fillId="0" borderId="0" xfId="0" applyNumberFormat="1" applyFont="1" applyAlignment="1">
      <alignment vertical="top"/>
    </xf>
    <xf numFmtId="0" fontId="3" fillId="0" borderId="0" xfId="0" applyFont="1" applyAlignment="1">
      <alignment vertical="top"/>
    </xf>
    <xf numFmtId="174" fontId="97" fillId="59" borderId="39" xfId="1" applyNumberFormat="1" applyFont="1" applyFill="1" applyBorder="1" applyAlignment="1">
      <alignment horizontal="center" vertical="top" wrapText="1"/>
    </xf>
    <xf numFmtId="174" fontId="3" fillId="76" borderId="39" xfId="1" applyNumberFormat="1" applyFont="1" applyFill="1" applyBorder="1" applyAlignment="1">
      <alignment horizontal="center" vertical="top" wrapText="1"/>
    </xf>
    <xf numFmtId="0" fontId="0" fillId="0" borderId="0" xfId="0" applyAlignment="1">
      <alignment vertical="top"/>
    </xf>
    <xf numFmtId="0" fontId="0" fillId="53" borderId="68" xfId="0" applyFill="1" applyBorder="1" applyAlignment="1">
      <alignment vertical="top"/>
    </xf>
    <xf numFmtId="1" fontId="3" fillId="2" borderId="37" xfId="1" applyNumberFormat="1" applyFont="1" applyFill="1" applyBorder="1" applyAlignment="1">
      <alignment horizontal="center" vertical="top" wrapText="1"/>
    </xf>
    <xf numFmtId="3" fontId="4" fillId="64" borderId="17" xfId="0" applyNumberFormat="1" applyFont="1" applyFill="1" applyBorder="1" applyAlignment="1">
      <alignment horizontal="center" vertical="center" wrapText="1"/>
    </xf>
    <xf numFmtId="3" fontId="4" fillId="64" borderId="19" xfId="0" applyNumberFormat="1" applyFont="1" applyFill="1" applyBorder="1" applyAlignment="1">
      <alignment horizontal="center" vertical="center" wrapText="1"/>
    </xf>
    <xf numFmtId="3" fontId="0" fillId="65" borderId="36" xfId="0" applyNumberFormat="1" applyFill="1" applyBorder="1"/>
    <xf numFmtId="2" fontId="0" fillId="61" borderId="46" xfId="0" applyNumberFormat="1" applyFill="1" applyBorder="1"/>
    <xf numFmtId="2" fontId="0" fillId="61" borderId="67" xfId="0" applyNumberFormat="1" applyFill="1" applyBorder="1"/>
    <xf numFmtId="2" fontId="0" fillId="61" borderId="48" xfId="0" applyNumberFormat="1" applyFill="1" applyBorder="1"/>
    <xf numFmtId="2" fontId="32" fillId="54" borderId="39" xfId="0" applyNumberFormat="1" applyFont="1" applyFill="1" applyBorder="1" applyAlignment="1">
      <alignment horizontal="center"/>
    </xf>
    <xf numFmtId="2" fontId="32" fillId="54" borderId="42" xfId="0" applyNumberFormat="1" applyFont="1" applyFill="1" applyBorder="1" applyAlignment="1">
      <alignment horizontal="center"/>
    </xf>
    <xf numFmtId="2" fontId="32" fillId="54" borderId="43" xfId="0" applyNumberFormat="1" applyFont="1" applyFill="1" applyBorder="1" applyAlignment="1">
      <alignment horizontal="center"/>
    </xf>
    <xf numFmtId="0" fontId="36" fillId="22" borderId="36" xfId="2" applyFont="1" applyFill="1" applyBorder="1"/>
    <xf numFmtId="0" fontId="36" fillId="22" borderId="39" xfId="2" applyFont="1" applyFill="1" applyBorder="1"/>
    <xf numFmtId="0" fontId="36" fillId="22" borderId="41" xfId="2" applyFont="1" applyFill="1" applyBorder="1"/>
    <xf numFmtId="0" fontId="36" fillId="22" borderId="42" xfId="2" applyFont="1" applyFill="1" applyBorder="1"/>
    <xf numFmtId="0" fontId="36" fillId="22" borderId="73" xfId="2" applyFont="1" applyFill="1" applyBorder="1"/>
    <xf numFmtId="2" fontId="32" fillId="54" borderId="41" xfId="0" applyNumberFormat="1" applyFont="1" applyFill="1" applyBorder="1" applyAlignment="1">
      <alignment horizontal="center"/>
    </xf>
    <xf numFmtId="0" fontId="4" fillId="0" borderId="22" xfId="0" applyFont="1" applyBorder="1" applyAlignment="1">
      <alignment horizontal="center" vertical="center" wrapText="1"/>
    </xf>
    <xf numFmtId="43" fontId="0" fillId="0" borderId="74" xfId="0" applyNumberFormat="1" applyBorder="1"/>
    <xf numFmtId="43" fontId="0" fillId="0" borderId="61" xfId="0" applyNumberFormat="1" applyBorder="1"/>
    <xf numFmtId="41" fontId="0" fillId="0" borderId="22" xfId="0" applyNumberFormat="1" applyBorder="1"/>
    <xf numFmtId="0" fontId="72" fillId="53" borderId="19" xfId="0" applyFont="1" applyFill="1" applyBorder="1" applyAlignment="1">
      <alignment horizontal="center" vertical="center" wrapText="1"/>
    </xf>
    <xf numFmtId="4" fontId="0" fillId="53" borderId="19" xfId="0" applyNumberFormat="1" applyFill="1" applyBorder="1"/>
    <xf numFmtId="175" fontId="0" fillId="53" borderId="17" xfId="0" applyNumberFormat="1" applyFill="1" applyBorder="1"/>
    <xf numFmtId="2" fontId="0" fillId="59" borderId="36" xfId="0" applyNumberFormat="1" applyFill="1" applyBorder="1"/>
    <xf numFmtId="2" fontId="0" fillId="59" borderId="37" xfId="0" applyNumberFormat="1" applyFill="1" applyBorder="1"/>
    <xf numFmtId="3" fontId="0" fillId="59" borderId="13" xfId="0" applyNumberFormat="1" applyFill="1" applyBorder="1"/>
    <xf numFmtId="3" fontId="0" fillId="59" borderId="38" xfId="0" applyNumberFormat="1" applyFill="1" applyBorder="1"/>
    <xf numFmtId="3" fontId="30" fillId="62" borderId="36" xfId="0" applyNumberFormat="1" applyFont="1" applyFill="1" applyBorder="1"/>
    <xf numFmtId="3" fontId="0" fillId="62" borderId="38" xfId="0" applyNumberFormat="1" applyFill="1" applyBorder="1"/>
    <xf numFmtId="3" fontId="30" fillId="62" borderId="39" xfId="0" applyNumberFormat="1" applyFont="1" applyFill="1" applyBorder="1"/>
    <xf numFmtId="43" fontId="9" fillId="63" borderId="42" xfId="0" applyNumberFormat="1" applyFont="1" applyFill="1" applyBorder="1"/>
    <xf numFmtId="43" fontId="0" fillId="63" borderId="43" xfId="0" applyNumberFormat="1" applyFill="1" applyBorder="1"/>
    <xf numFmtId="0" fontId="72" fillId="62" borderId="18" xfId="0" applyFont="1" applyFill="1" applyBorder="1" applyAlignment="1">
      <alignment horizontal="center" vertical="center" wrapText="1"/>
    </xf>
    <xf numFmtId="0" fontId="72" fillId="62" borderId="19" xfId="0" applyFont="1" applyFill="1" applyBorder="1" applyAlignment="1">
      <alignment horizontal="center" vertical="center" wrapText="1"/>
    </xf>
    <xf numFmtId="0" fontId="72" fillId="60" borderId="17" xfId="0" applyFont="1" applyFill="1" applyBorder="1" applyAlignment="1">
      <alignment horizontal="center" vertical="center" wrapText="1"/>
    </xf>
    <xf numFmtId="0" fontId="72" fillId="67" borderId="19" xfId="0" applyFont="1" applyFill="1" applyBorder="1" applyAlignment="1">
      <alignment horizontal="center" vertical="center" wrapText="1"/>
    </xf>
    <xf numFmtId="0" fontId="98" fillId="0" borderId="0" xfId="0" applyFont="1" applyAlignment="1">
      <alignment horizontal="left"/>
    </xf>
    <xf numFmtId="0" fontId="99" fillId="0" borderId="0" xfId="0" applyFont="1" applyAlignment="1">
      <alignment vertical="center" wrapText="1"/>
    </xf>
    <xf numFmtId="0" fontId="98" fillId="0" borderId="0" xfId="0" applyFont="1" applyAlignment="1">
      <alignment vertical="center"/>
    </xf>
    <xf numFmtId="0" fontId="100" fillId="0" borderId="0" xfId="0" applyFont="1"/>
    <xf numFmtId="0" fontId="76" fillId="0" borderId="53" xfId="0" applyFont="1" applyBorder="1"/>
    <xf numFmtId="176" fontId="76" fillId="0" borderId="55" xfId="0" applyNumberFormat="1" applyFont="1" applyBorder="1"/>
    <xf numFmtId="0" fontId="98" fillId="0" borderId="0" xfId="0" applyFont="1"/>
    <xf numFmtId="0" fontId="76" fillId="0" borderId="58" xfId="0" applyFont="1" applyBorder="1"/>
    <xf numFmtId="176" fontId="76" fillId="0" borderId="60" xfId="0" applyNumberFormat="1" applyFont="1" applyBorder="1"/>
    <xf numFmtId="0" fontId="76" fillId="0" borderId="0" xfId="0" applyFont="1" applyAlignment="1">
      <alignment vertical="top"/>
    </xf>
    <xf numFmtId="0" fontId="0" fillId="55" borderId="0" xfId="0" applyFill="1" applyAlignment="1">
      <alignment vertical="top" wrapText="1"/>
    </xf>
    <xf numFmtId="0" fontId="0" fillId="53" borderId="0" xfId="0" applyFill="1" applyAlignment="1">
      <alignment vertical="top" wrapText="1"/>
    </xf>
    <xf numFmtId="0" fontId="3" fillId="70" borderId="0" xfId="0" applyFont="1" applyFill="1"/>
    <xf numFmtId="166" fontId="1" fillId="0" borderId="39" xfId="1" applyNumberFormat="1" applyFont="1" applyFill="1" applyBorder="1" applyAlignment="1">
      <alignment horizontal="center" vertical="center" wrapText="1"/>
    </xf>
    <xf numFmtId="166" fontId="1" fillId="0" borderId="40" xfId="0" applyNumberFormat="1" applyFont="1" applyBorder="1" applyAlignment="1">
      <alignment horizontal="center" vertical="center" wrapText="1"/>
    </xf>
    <xf numFmtId="166" fontId="1" fillId="0" borderId="41" xfId="1" applyNumberFormat="1" applyFont="1" applyFill="1" applyBorder="1" applyAlignment="1">
      <alignment horizontal="center" vertical="center" wrapText="1"/>
    </xf>
    <xf numFmtId="166" fontId="1" fillId="0" borderId="42" xfId="0" applyNumberFormat="1" applyFont="1" applyBorder="1" applyAlignment="1">
      <alignment horizontal="center" vertical="center" wrapText="1"/>
    </xf>
    <xf numFmtId="166" fontId="1" fillId="0" borderId="43" xfId="0" applyNumberFormat="1" applyFont="1" applyBorder="1" applyAlignment="1">
      <alignment horizontal="center" vertical="center" wrapText="1"/>
    </xf>
    <xf numFmtId="166" fontId="85" fillId="0" borderId="17" xfId="0" applyNumberFormat="1" applyFont="1" applyBorder="1"/>
    <xf numFmtId="166" fontId="85" fillId="0" borderId="18" xfId="0" applyNumberFormat="1" applyFont="1" applyBorder="1"/>
    <xf numFmtId="166" fontId="85" fillId="0" borderId="19" xfId="0" applyNumberFormat="1" applyFont="1" applyBorder="1"/>
    <xf numFmtId="0" fontId="0" fillId="63" borderId="68" xfId="0" applyFill="1" applyBorder="1" applyAlignment="1">
      <alignment vertical="top"/>
    </xf>
    <xf numFmtId="0" fontId="36" fillId="63" borderId="62" xfId="2" applyFont="1" applyFill="1" applyBorder="1"/>
    <xf numFmtId="166" fontId="0" fillId="70" borderId="0" xfId="1" applyNumberFormat="1" applyFont="1" applyFill="1"/>
    <xf numFmtId="166" fontId="0" fillId="70" borderId="0" xfId="1" applyNumberFormat="1" applyFont="1" applyFill="1" applyBorder="1"/>
    <xf numFmtId="166" fontId="3" fillId="70" borderId="10" xfId="1" applyNumberFormat="1" applyFont="1" applyFill="1" applyBorder="1" applyAlignment="1">
      <alignment horizontal="center"/>
    </xf>
    <xf numFmtId="0" fontId="0" fillId="70" borderId="0" xfId="1" applyNumberFormat="1" applyFont="1" applyFill="1" applyBorder="1"/>
    <xf numFmtId="0" fontId="3" fillId="0" borderId="63" xfId="0" applyFont="1" applyBorder="1" applyAlignment="1">
      <alignment horizontal="center" vertical="top" wrapText="1"/>
    </xf>
    <xf numFmtId="0" fontId="101" fillId="0" borderId="10" xfId="0" applyFont="1" applyBorder="1" applyAlignment="1">
      <alignment horizontal="center" vertical="center"/>
    </xf>
    <xf numFmtId="0" fontId="102" fillId="0" borderId="13" xfId="0" applyFont="1" applyBorder="1" applyAlignment="1">
      <alignment horizontal="center" vertical="center" wrapText="1"/>
    </xf>
    <xf numFmtId="0" fontId="101" fillId="0" borderId="10" xfId="0" applyFont="1" applyBorder="1" applyAlignment="1">
      <alignment horizontal="center" vertical="center" wrapText="1"/>
    </xf>
    <xf numFmtId="0" fontId="0" fillId="0" borderId="75" xfId="0" applyBorder="1" applyAlignment="1">
      <alignment horizontal="center"/>
    </xf>
    <xf numFmtId="176" fontId="0" fillId="0" borderId="0" xfId="0" applyNumberFormat="1"/>
    <xf numFmtId="0" fontId="0" fillId="0" borderId="13" xfId="0" applyBorder="1" applyAlignment="1">
      <alignment horizontal="center"/>
    </xf>
    <xf numFmtId="176" fontId="0" fillId="0" borderId="10" xfId="0" applyNumberFormat="1" applyBorder="1"/>
    <xf numFmtId="2" fontId="0" fillId="0" borderId="10" xfId="0" applyNumberFormat="1" applyBorder="1"/>
    <xf numFmtId="0" fontId="101" fillId="0" borderId="12" xfId="0" applyFont="1" applyBorder="1" applyAlignment="1">
      <alignment horizontal="center" vertical="center"/>
    </xf>
    <xf numFmtId="0" fontId="0" fillId="21" borderId="68" xfId="0" applyFill="1" applyBorder="1" applyAlignment="1">
      <alignment vertical="top"/>
    </xf>
    <xf numFmtId="4" fontId="1" fillId="0" borderId="0" xfId="0" applyNumberFormat="1" applyFont="1"/>
    <xf numFmtId="14" fontId="30" fillId="0" borderId="71" xfId="0" applyNumberFormat="1" applyFont="1" applyBorder="1" applyAlignment="1">
      <alignment vertical="center"/>
    </xf>
    <xf numFmtId="0" fontId="30" fillId="0" borderId="71" xfId="0" applyFont="1" applyBorder="1" applyAlignment="1">
      <alignment vertical="center" readingOrder="1"/>
    </xf>
    <xf numFmtId="172" fontId="30" fillId="0" borderId="71" xfId="0" applyNumberFormat="1" applyFont="1" applyBorder="1" applyAlignment="1">
      <alignment vertical="center" readingOrder="1"/>
    </xf>
    <xf numFmtId="14" fontId="30" fillId="0" borderId="71" xfId="0" applyNumberFormat="1" applyFont="1" applyBorder="1" applyAlignment="1">
      <alignment vertical="center" readingOrder="1"/>
    </xf>
    <xf numFmtId="14" fontId="30" fillId="0" borderId="0" xfId="0" applyNumberFormat="1" applyFont="1" applyAlignment="1">
      <alignment vertical="center"/>
    </xf>
    <xf numFmtId="172" fontId="30" fillId="0" borderId="0" xfId="0" applyNumberFormat="1" applyFont="1" applyAlignment="1">
      <alignment vertical="center" readingOrder="1"/>
    </xf>
    <xf numFmtId="172" fontId="30" fillId="0" borderId="72" xfId="918" applyFont="1" applyBorder="1" applyAlignment="1">
      <alignment vertical="center" readingOrder="1"/>
    </xf>
    <xf numFmtId="2" fontId="30" fillId="0" borderId="0" xfId="0" applyNumberFormat="1" applyFont="1" applyAlignment="1">
      <alignment horizontal="center" vertical="center"/>
    </xf>
    <xf numFmtId="0" fontId="32" fillId="57" borderId="22" xfId="0" applyFont="1" applyFill="1" applyBorder="1" applyAlignment="1">
      <alignment horizontal="center" vertical="center" wrapText="1"/>
    </xf>
    <xf numFmtId="4" fontId="36" fillId="57" borderId="61" xfId="2" applyNumberFormat="1" applyFont="1" applyFill="1" applyBorder="1"/>
    <xf numFmtId="4" fontId="36" fillId="57" borderId="22" xfId="2" applyNumberFormat="1" applyFont="1" applyFill="1" applyBorder="1"/>
    <xf numFmtId="4" fontId="36" fillId="57" borderId="77" xfId="2" applyNumberFormat="1" applyFont="1" applyFill="1" applyBorder="1"/>
    <xf numFmtId="1" fontId="36" fillId="0" borderId="21" xfId="0" applyNumberFormat="1" applyFont="1" applyBorder="1" applyAlignment="1">
      <alignment horizontal="center" vertical="top" wrapText="1"/>
    </xf>
    <xf numFmtId="0" fontId="1" fillId="0" borderId="78" xfId="0" applyFont="1" applyBorder="1"/>
    <xf numFmtId="0" fontId="1" fillId="0" borderId="10" xfId="0" applyFont="1" applyBorder="1"/>
    <xf numFmtId="0" fontId="1" fillId="0" borderId="59" xfId="0" applyFont="1" applyBorder="1"/>
    <xf numFmtId="0" fontId="32" fillId="0" borderId="39" xfId="0" applyFont="1" applyBorder="1" applyAlignment="1">
      <alignment horizontal="center" vertical="center" wrapText="1"/>
    </xf>
    <xf numFmtId="0" fontId="32" fillId="0" borderId="77" xfId="0" applyFont="1" applyBorder="1" applyAlignment="1">
      <alignment horizontal="center" vertical="center" wrapText="1"/>
    </xf>
    <xf numFmtId="0" fontId="32" fillId="0" borderId="40" xfId="0" applyFont="1" applyBorder="1" applyAlignment="1">
      <alignment horizontal="center" vertical="center" wrapText="1"/>
    </xf>
    <xf numFmtId="4" fontId="32" fillId="22" borderId="39" xfId="0" applyNumberFormat="1" applyFont="1" applyFill="1" applyBorder="1"/>
    <xf numFmtId="4" fontId="32" fillId="22" borderId="77" xfId="0" applyNumberFormat="1" applyFont="1" applyFill="1" applyBorder="1"/>
    <xf numFmtId="4" fontId="32" fillId="22" borderId="40" xfId="0" applyNumberFormat="1" applyFont="1" applyFill="1" applyBorder="1"/>
    <xf numFmtId="0" fontId="1" fillId="0" borderId="77" xfId="0" applyFont="1" applyBorder="1"/>
    <xf numFmtId="41" fontId="1" fillId="23" borderId="77" xfId="0" applyNumberFormat="1" applyFont="1" applyFill="1" applyBorder="1" applyAlignment="1">
      <alignment horizontal="center" vertical="center" wrapText="1"/>
    </xf>
    <xf numFmtId="166" fontId="1" fillId="0" borderId="77" xfId="0" applyNumberFormat="1" applyFont="1" applyBorder="1" applyAlignment="1">
      <alignment horizontal="center" vertical="center" wrapText="1"/>
    </xf>
    <xf numFmtId="0" fontId="1" fillId="0" borderId="77" xfId="1" applyNumberFormat="1" applyFont="1" applyFill="1" applyBorder="1"/>
    <xf numFmtId="0" fontId="102" fillId="0" borderId="10" xfId="0" applyFont="1" applyBorder="1" applyAlignment="1">
      <alignment horizontal="center" vertical="center" wrapText="1"/>
    </xf>
    <xf numFmtId="0" fontId="0" fillId="0" borderId="10" xfId="0" applyBorder="1" applyAlignment="1">
      <alignment horizontal="center"/>
    </xf>
    <xf numFmtId="0" fontId="97" fillId="0" borderId="63" xfId="0" applyFont="1" applyBorder="1" applyAlignment="1">
      <alignment horizontal="center" vertical="top" wrapText="1"/>
    </xf>
    <xf numFmtId="0" fontId="3" fillId="0" borderId="80" xfId="0" quotePrefix="1" applyFont="1" applyBorder="1" applyAlignment="1">
      <alignment horizontal="center" vertical="top" wrapText="1"/>
    </xf>
    <xf numFmtId="176" fontId="0" fillId="0" borderId="81" xfId="0" applyNumberFormat="1" applyBorder="1"/>
    <xf numFmtId="6" fontId="0" fillId="0" borderId="81" xfId="0" applyNumberFormat="1" applyBorder="1"/>
    <xf numFmtId="176" fontId="0" fillId="0" borderId="79" xfId="0" applyNumberFormat="1" applyBorder="1"/>
    <xf numFmtId="2" fontId="0" fillId="0" borderId="0" xfId="0" quotePrefix="1" applyNumberFormat="1"/>
    <xf numFmtId="2" fontId="0" fillId="0" borderId="81" xfId="0" applyNumberFormat="1" applyBorder="1"/>
    <xf numFmtId="0" fontId="0" fillId="79" borderId="10" xfId="0" applyFill="1" applyBorder="1" applyAlignment="1">
      <alignment horizontal="center"/>
    </xf>
    <xf numFmtId="0" fontId="0" fillId="79" borderId="10" xfId="0" applyFill="1" applyBorder="1"/>
    <xf numFmtId="0" fontId="0" fillId="79" borderId="0" xfId="0" applyFill="1"/>
    <xf numFmtId="0" fontId="0" fillId="79" borderId="76" xfId="0" applyFill="1" applyBorder="1"/>
    <xf numFmtId="0" fontId="104" fillId="0" borderId="0" xfId="0" applyFont="1"/>
    <xf numFmtId="0" fontId="76" fillId="2" borderId="0" xfId="0" applyFont="1" applyFill="1"/>
    <xf numFmtId="0" fontId="76" fillId="78" borderId="0" xfId="0" applyFont="1" applyFill="1"/>
    <xf numFmtId="0" fontId="76" fillId="71" borderId="0" xfId="0" applyFont="1" applyFill="1"/>
    <xf numFmtId="0" fontId="89" fillId="61" borderId="77" xfId="0" applyFont="1" applyFill="1" applyBorder="1" applyAlignment="1">
      <alignment horizontal="center" vertical="top"/>
    </xf>
    <xf numFmtId="0" fontId="89" fillId="61" borderId="77" xfId="0" applyFont="1" applyFill="1" applyBorder="1" applyAlignment="1">
      <alignment horizontal="center" vertical="top" wrapText="1"/>
    </xf>
    <xf numFmtId="0" fontId="3" fillId="0" borderId="77" xfId="0" applyFont="1" applyBorder="1" applyAlignment="1">
      <alignment horizontal="center" vertical="top"/>
    </xf>
    <xf numFmtId="0" fontId="3" fillId="0" borderId="77" xfId="0" applyFont="1" applyBorder="1" applyAlignment="1">
      <alignment horizontal="center" vertical="top" wrapText="1"/>
    </xf>
    <xf numFmtId="0" fontId="76" fillId="0" borderId="77" xfId="0" applyFont="1" applyBorder="1" applyAlignment="1">
      <alignment horizontal="left"/>
    </xf>
    <xf numFmtId="0" fontId="5" fillId="0" borderId="77" xfId="0" applyFont="1" applyBorder="1"/>
    <xf numFmtId="0" fontId="76" fillId="0" borderId="77" xfId="0" applyFont="1" applyBorder="1"/>
    <xf numFmtId="0" fontId="76" fillId="0" borderId="77" xfId="0" applyFont="1" applyBorder="1" applyAlignment="1">
      <alignment horizontal="center"/>
    </xf>
    <xf numFmtId="0" fontId="89" fillId="0" borderId="77" xfId="0" applyFont="1" applyBorder="1" applyAlignment="1">
      <alignment horizontal="center"/>
    </xf>
    <xf numFmtId="0" fontId="0" fillId="0" borderId="77" xfId="0" applyBorder="1" applyAlignment="1">
      <alignment vertical="top"/>
    </xf>
    <xf numFmtId="4" fontId="0" fillId="0" borderId="77" xfId="0" applyNumberFormat="1" applyBorder="1" applyAlignment="1">
      <alignment vertical="top"/>
    </xf>
    <xf numFmtId="4" fontId="0" fillId="2" borderId="77" xfId="0" applyNumberFormat="1" applyFill="1" applyBorder="1" applyAlignment="1">
      <alignment vertical="top" wrapText="1"/>
    </xf>
    <xf numFmtId="4" fontId="0" fillId="71" borderId="77" xfId="0" applyNumberFormat="1" applyFill="1" applyBorder="1" applyAlignment="1">
      <alignment vertical="top" wrapText="1"/>
    </xf>
    <xf numFmtId="0" fontId="76" fillId="0" borderId="34" xfId="0" applyFont="1" applyBorder="1"/>
    <xf numFmtId="4" fontId="0" fillId="78" borderId="77" xfId="0" applyNumberFormat="1" applyFill="1" applyBorder="1" applyAlignment="1">
      <alignment vertical="top" wrapText="1"/>
    </xf>
    <xf numFmtId="4" fontId="0" fillId="22" borderId="77" xfId="0" applyNumberFormat="1" applyFill="1" applyBorder="1" applyAlignment="1">
      <alignment vertical="top" wrapText="1"/>
    </xf>
    <xf numFmtId="0" fontId="5" fillId="0" borderId="77" xfId="0" applyFont="1" applyBorder="1" applyAlignment="1">
      <alignment horizontal="center"/>
    </xf>
    <xf numFmtId="0" fontId="105" fillId="0" borderId="77" xfId="0" applyFont="1" applyBorder="1" applyAlignment="1">
      <alignment horizontal="center"/>
    </xf>
    <xf numFmtId="4" fontId="30" fillId="71" borderId="77" xfId="0" applyNumberFormat="1" applyFont="1" applyFill="1" applyBorder="1" applyAlignment="1">
      <alignment vertical="top" wrapText="1"/>
    </xf>
    <xf numFmtId="4" fontId="30" fillId="2" borderId="77" xfId="0" applyNumberFormat="1" applyFont="1" applyFill="1" applyBorder="1" applyAlignment="1">
      <alignment vertical="top" wrapText="1"/>
    </xf>
    <xf numFmtId="0" fontId="89" fillId="61" borderId="77" xfId="0" applyFont="1" applyFill="1" applyBorder="1" applyAlignment="1">
      <alignment horizontal="left"/>
    </xf>
    <xf numFmtId="0" fontId="89" fillId="61" borderId="77" xfId="0" applyFont="1" applyFill="1" applyBorder="1" applyAlignment="1">
      <alignment horizontal="center"/>
    </xf>
    <xf numFmtId="0" fontId="92" fillId="69" borderId="79" xfId="0" applyFont="1" applyFill="1" applyBorder="1" applyAlignment="1">
      <alignment horizontal="center"/>
    </xf>
    <xf numFmtId="2" fontId="32" fillId="22" borderId="81" xfId="0" applyNumberFormat="1" applyFont="1" applyFill="1" applyBorder="1" applyAlignment="1">
      <alignment horizontal="center"/>
    </xf>
    <xf numFmtId="3" fontId="32" fillId="22" borderId="81" xfId="0" applyNumberFormat="1" applyFont="1" applyFill="1" applyBorder="1"/>
    <xf numFmtId="166" fontId="0" fillId="70" borderId="77" xfId="1" applyNumberFormat="1" applyFont="1" applyFill="1" applyBorder="1" applyProtection="1"/>
    <xf numFmtId="166" fontId="0" fillId="70" borderId="77" xfId="0" applyNumberFormat="1" applyFill="1" applyBorder="1"/>
    <xf numFmtId="166" fontId="0" fillId="56" borderId="77" xfId="1" applyNumberFormat="1" applyFont="1" applyFill="1" applyBorder="1" applyProtection="1">
      <protection locked="0"/>
    </xf>
    <xf numFmtId="43" fontId="0" fillId="70" borderId="77" xfId="1" applyFont="1" applyFill="1" applyBorder="1" applyProtection="1"/>
    <xf numFmtId="43" fontId="0" fillId="56" borderId="77" xfId="1" applyFont="1" applyFill="1" applyBorder="1" applyProtection="1">
      <protection locked="0"/>
    </xf>
    <xf numFmtId="168" fontId="0" fillId="70" borderId="77" xfId="0" applyNumberFormat="1" applyFill="1" applyBorder="1"/>
    <xf numFmtId="2" fontId="0" fillId="70" borderId="77" xfId="1" applyNumberFormat="1" applyFont="1" applyFill="1" applyBorder="1" applyProtection="1"/>
    <xf numFmtId="171" fontId="0" fillId="77" borderId="77" xfId="1" applyNumberFormat="1" applyFont="1" applyFill="1" applyBorder="1" applyProtection="1"/>
    <xf numFmtId="0" fontId="0" fillId="70" borderId="77" xfId="0" applyFill="1" applyBorder="1" applyAlignment="1">
      <alignment horizontal="center" wrapText="1"/>
    </xf>
    <xf numFmtId="0" fontId="0" fillId="70" borderId="77" xfId="1" applyNumberFormat="1" applyFont="1" applyFill="1" applyBorder="1"/>
    <xf numFmtId="43" fontId="0" fillId="70" borderId="77" xfId="1" applyFont="1" applyFill="1" applyBorder="1"/>
    <xf numFmtId="166" fontId="0" fillId="70" borderId="77" xfId="1" applyNumberFormat="1" applyFont="1" applyFill="1" applyBorder="1"/>
    <xf numFmtId="43" fontId="0" fillId="70" borderId="81" xfId="1" applyFont="1" applyFill="1" applyBorder="1"/>
    <xf numFmtId="166" fontId="0" fillId="70" borderId="81" xfId="1" applyNumberFormat="1" applyFont="1" applyFill="1" applyBorder="1"/>
    <xf numFmtId="166" fontId="0" fillId="70" borderId="81" xfId="0" applyNumberFormat="1" applyFill="1" applyBorder="1"/>
    <xf numFmtId="166" fontId="3" fillId="70" borderId="81" xfId="1" applyNumberFormat="1" applyFont="1" applyFill="1" applyBorder="1" applyAlignment="1">
      <alignment horizontal="center"/>
    </xf>
    <xf numFmtId="166" fontId="0" fillId="77" borderId="77" xfId="1" applyNumberFormat="1" applyFont="1" applyFill="1" applyBorder="1"/>
    <xf numFmtId="0" fontId="3" fillId="0" borderId="82" xfId="0" applyFont="1" applyBorder="1" applyAlignment="1">
      <alignment horizontal="center" vertical="top" wrapText="1"/>
    </xf>
    <xf numFmtId="0" fontId="3" fillId="0" borderId="63" xfId="0" quotePrefix="1" applyFont="1" applyBorder="1" applyAlignment="1">
      <alignment horizontal="center" vertical="top" wrapText="1"/>
    </xf>
    <xf numFmtId="0" fontId="74" fillId="0" borderId="77" xfId="2" applyFont="1" applyBorder="1"/>
    <xf numFmtId="0" fontId="0" fillId="55" borderId="77" xfId="0" applyFill="1" applyBorder="1" applyAlignment="1">
      <alignment horizontal="center"/>
    </xf>
    <xf numFmtId="0" fontId="0" fillId="55" borderId="77" xfId="0" applyFill="1" applyBorder="1" applyAlignment="1">
      <alignment horizontal="right"/>
    </xf>
    <xf numFmtId="0" fontId="32" fillId="21" borderId="77" xfId="0" applyFont="1" applyFill="1" applyBorder="1" applyAlignment="1">
      <alignment horizontal="center" wrapText="1"/>
    </xf>
    <xf numFmtId="0" fontId="32" fillId="0" borderId="79" xfId="0" applyFont="1" applyBorder="1" applyAlignment="1">
      <alignment horizontal="center" vertical="center" wrapText="1"/>
    </xf>
    <xf numFmtId="2" fontId="32" fillId="0" borderId="77" xfId="0" applyNumberFormat="1" applyFont="1" applyBorder="1"/>
    <xf numFmtId="2" fontId="32" fillId="22" borderId="77" xfId="0" applyNumberFormat="1" applyFont="1" applyFill="1" applyBorder="1"/>
    <xf numFmtId="2" fontId="32" fillId="22" borderId="79" xfId="0" applyNumberFormat="1" applyFont="1" applyFill="1" applyBorder="1"/>
    <xf numFmtId="0" fontId="36" fillId="22" borderId="77" xfId="2" applyFont="1" applyFill="1" applyBorder="1"/>
    <xf numFmtId="4" fontId="36" fillId="57" borderId="70" xfId="2" applyNumberFormat="1" applyFont="1" applyFill="1" applyBorder="1"/>
    <xf numFmtId="4" fontId="36" fillId="57" borderId="83" xfId="2" applyNumberFormat="1" applyFont="1" applyFill="1" applyBorder="1"/>
    <xf numFmtId="4" fontId="36" fillId="57" borderId="84" xfId="2" applyNumberFormat="1" applyFont="1" applyFill="1" applyBorder="1"/>
    <xf numFmtId="43" fontId="30" fillId="2" borderId="77" xfId="1" applyFont="1" applyFill="1" applyBorder="1" applyAlignment="1">
      <alignment vertical="top" wrapText="1"/>
    </xf>
    <xf numFmtId="43" fontId="30" fillId="53" borderId="77" xfId="1" applyFont="1" applyFill="1" applyBorder="1" applyAlignment="1">
      <alignment vertical="top" wrapText="1"/>
    </xf>
    <xf numFmtId="43" fontId="3" fillId="56" borderId="77" xfId="1" applyFont="1" applyFill="1" applyBorder="1" applyAlignment="1">
      <alignment vertical="top" wrapText="1"/>
    </xf>
    <xf numFmtId="170" fontId="80" fillId="0" borderId="77" xfId="911" applyNumberFormat="1" applyFont="1" applyBorder="1"/>
    <xf numFmtId="0" fontId="0" fillId="0" borderId="77" xfId="0" applyBorder="1"/>
    <xf numFmtId="1" fontId="3" fillId="78" borderId="77" xfId="0" applyNumberFormat="1" applyFont="1" applyFill="1" applyBorder="1"/>
    <xf numFmtId="1" fontId="3" fillId="2" borderId="77" xfId="0" applyNumberFormat="1" applyFont="1" applyFill="1" applyBorder="1"/>
    <xf numFmtId="0" fontId="3" fillId="2" borderId="77" xfId="0" applyFont="1" applyFill="1" applyBorder="1"/>
    <xf numFmtId="1" fontId="0" fillId="0" borderId="77" xfId="0" applyNumberFormat="1" applyBorder="1"/>
    <xf numFmtId="0" fontId="0" fillId="71" borderId="77" xfId="0" applyFill="1" applyBorder="1"/>
    <xf numFmtId="1" fontId="0" fillId="71" borderId="77" xfId="0" applyNumberFormat="1" applyFill="1" applyBorder="1"/>
    <xf numFmtId="1" fontId="3" fillId="0" borderId="77" xfId="0" applyNumberFormat="1" applyFont="1" applyBorder="1"/>
    <xf numFmtId="0" fontId="3" fillId="0" borderId="77" xfId="0" applyFont="1" applyBorder="1"/>
    <xf numFmtId="0" fontId="79" fillId="0" borderId="77" xfId="0" applyFont="1" applyBorder="1"/>
    <xf numFmtId="0" fontId="0" fillId="22" borderId="83" xfId="0" applyFill="1" applyBorder="1" applyAlignment="1">
      <alignment horizontal="center"/>
    </xf>
    <xf numFmtId="0" fontId="0" fillId="22" borderId="77" xfId="0" applyFill="1" applyBorder="1" applyAlignment="1">
      <alignment horizontal="center"/>
    </xf>
    <xf numFmtId="0" fontId="0" fillId="22" borderId="77" xfId="0" applyFill="1" applyBorder="1" applyAlignment="1">
      <alignment horizontal="right"/>
    </xf>
    <xf numFmtId="0" fontId="0" fillId="55" borderId="83" xfId="0" applyFill="1" applyBorder="1" applyAlignment="1">
      <alignment horizontal="center"/>
    </xf>
    <xf numFmtId="43" fontId="70" fillId="0" borderId="77" xfId="1" applyFont="1" applyFill="1" applyBorder="1"/>
    <xf numFmtId="3" fontId="0" fillId="62" borderId="77" xfId="1" applyNumberFormat="1" applyFont="1" applyFill="1" applyBorder="1"/>
    <xf numFmtId="43" fontId="9" fillId="63" borderId="77" xfId="0" applyNumberFormat="1" applyFont="1" applyFill="1" applyBorder="1"/>
    <xf numFmtId="0" fontId="81" fillId="0" borderId="0" xfId="914"/>
    <xf numFmtId="2" fontId="0" fillId="61" borderId="39" xfId="0" applyNumberFormat="1" applyFill="1" applyBorder="1"/>
    <xf numFmtId="2" fontId="0" fillId="61" borderId="77" xfId="0" applyNumberFormat="1" applyFill="1" applyBorder="1"/>
    <xf numFmtId="2" fontId="0" fillId="61" borderId="40" xfId="0" applyNumberFormat="1" applyFill="1" applyBorder="1"/>
    <xf numFmtId="0" fontId="0" fillId="55" borderId="77" xfId="0" applyFill="1" applyBorder="1" applyAlignment="1">
      <alignment horizontal="center" vertical="center"/>
    </xf>
    <xf numFmtId="0" fontId="0" fillId="55" borderId="77" xfId="0" applyFill="1" applyBorder="1" applyAlignment="1">
      <alignment horizontal="center" vertical="center" wrapText="1"/>
    </xf>
    <xf numFmtId="0" fontId="0" fillId="22" borderId="77" xfId="0" applyFill="1" applyBorder="1" applyAlignment="1">
      <alignment horizontal="center" vertical="center" wrapText="1"/>
    </xf>
    <xf numFmtId="0" fontId="0" fillId="22" borderId="77" xfId="0" applyFill="1" applyBorder="1" applyAlignment="1">
      <alignment horizontal="center" vertical="center"/>
    </xf>
    <xf numFmtId="3" fontId="0" fillId="65" borderId="13" xfId="0" applyNumberFormat="1" applyFill="1" applyBorder="1"/>
    <xf numFmtId="3" fontId="0" fillId="65" borderId="62" xfId="0" applyNumberFormat="1" applyFill="1" applyBorder="1"/>
    <xf numFmtId="3" fontId="0" fillId="61" borderId="12" xfId="0" applyNumberFormat="1" applyFill="1" applyBorder="1"/>
    <xf numFmtId="3" fontId="0" fillId="61" borderId="79" xfId="0" applyNumberFormat="1" applyFill="1" applyBorder="1"/>
    <xf numFmtId="0" fontId="4" fillId="60" borderId="86" xfId="0" applyFont="1" applyFill="1" applyBorder="1" applyAlignment="1">
      <alignment horizontal="center" vertical="center"/>
    </xf>
    <xf numFmtId="0" fontId="4" fillId="60" borderId="87" xfId="0" applyFont="1" applyFill="1" applyBorder="1" applyAlignment="1">
      <alignment horizontal="center" vertical="center"/>
    </xf>
    <xf numFmtId="0" fontId="4" fillId="60" borderId="88" xfId="0" applyFont="1" applyFill="1" applyBorder="1" applyAlignment="1">
      <alignment horizontal="center" vertical="center"/>
    </xf>
    <xf numFmtId="0" fontId="72" fillId="62" borderId="17" xfId="0" applyFont="1" applyFill="1" applyBorder="1" applyAlignment="1">
      <alignment horizontal="center" vertical="center" wrapText="1"/>
    </xf>
    <xf numFmtId="4" fontId="30" fillId="0" borderId="77" xfId="0" applyNumberFormat="1" applyFont="1" applyBorder="1" applyAlignment="1">
      <alignment vertical="top"/>
    </xf>
    <xf numFmtId="4" fontId="30" fillId="0" borderId="77" xfId="0" applyNumberFormat="1" applyFont="1" applyBorder="1" applyAlignment="1">
      <alignment vertical="top" wrapText="1"/>
    </xf>
    <xf numFmtId="4" fontId="30" fillId="22" borderId="77" xfId="0" applyNumberFormat="1" applyFont="1" applyFill="1" applyBorder="1" applyAlignment="1">
      <alignment vertical="top" wrapText="1"/>
    </xf>
    <xf numFmtId="177" fontId="0" fillId="0" borderId="0" xfId="0" applyNumberFormat="1"/>
    <xf numFmtId="0" fontId="76" fillId="79" borderId="0" xfId="0" applyFont="1" applyFill="1"/>
    <xf numFmtId="4" fontId="76" fillId="0" borderId="0" xfId="0" applyNumberFormat="1" applyFont="1"/>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30" fillId="0" borderId="87" xfId="0" applyFont="1" applyBorder="1" applyAlignment="1">
      <alignment horizontal="center" vertical="center" wrapText="1"/>
    </xf>
    <xf numFmtId="0" fontId="30" fillId="0" borderId="88" xfId="0" applyFont="1" applyBorder="1" applyAlignment="1">
      <alignment horizontal="center" vertical="center" wrapText="1"/>
    </xf>
    <xf numFmtId="166" fontId="1" fillId="23" borderId="12" xfId="1" applyNumberFormat="1" applyFont="1" applyFill="1" applyBorder="1" applyAlignment="1">
      <alignment horizontal="center" vertical="center" wrapText="1"/>
    </xf>
    <xf numFmtId="166" fontId="1" fillId="23" borderId="79" xfId="1" applyNumberFormat="1" applyFont="1" applyFill="1" applyBorder="1" applyAlignment="1">
      <alignment horizontal="center" vertical="center" wrapText="1"/>
    </xf>
    <xf numFmtId="166" fontId="1" fillId="23" borderId="85" xfId="1" applyNumberFormat="1" applyFont="1" applyFill="1" applyBorder="1" applyAlignment="1">
      <alignment horizontal="center" vertical="center" wrapText="1"/>
    </xf>
    <xf numFmtId="1" fontId="36" fillId="24" borderId="55" xfId="0" applyNumberFormat="1" applyFont="1" applyFill="1" applyBorder="1" applyAlignment="1">
      <alignment horizontal="center" vertical="top" wrapText="1"/>
    </xf>
    <xf numFmtId="1" fontId="36" fillId="24" borderId="86" xfId="0" applyNumberFormat="1" applyFont="1" applyFill="1" applyBorder="1" applyAlignment="1">
      <alignment horizontal="center" vertical="top" wrapText="1"/>
    </xf>
    <xf numFmtId="166" fontId="1" fillId="54" borderId="40" xfId="1" applyNumberFormat="1" applyFont="1" applyFill="1" applyBorder="1" applyAlignment="1">
      <alignment horizontal="center" vertical="center" wrapText="1"/>
    </xf>
    <xf numFmtId="166" fontId="1" fillId="54" borderId="43" xfId="1" applyNumberFormat="1" applyFont="1" applyFill="1" applyBorder="1" applyAlignment="1">
      <alignment horizontal="center" vertical="center" wrapText="1"/>
    </xf>
    <xf numFmtId="166" fontId="106" fillId="0" borderId="14" xfId="0" applyNumberFormat="1" applyFont="1" applyBorder="1"/>
    <xf numFmtId="3" fontId="1" fillId="72" borderId="0" xfId="0" applyNumberFormat="1" applyFont="1" applyFill="1"/>
    <xf numFmtId="0" fontId="1" fillId="72" borderId="0" xfId="0" applyFont="1" applyFill="1"/>
    <xf numFmtId="0" fontId="78" fillId="72" borderId="53" xfId="0" applyFont="1" applyFill="1" applyBorder="1"/>
    <xf numFmtId="0" fontId="1" fillId="72" borderId="56" xfId="0" applyFont="1" applyFill="1" applyBorder="1"/>
    <xf numFmtId="0" fontId="1" fillId="72" borderId="54" xfId="0" applyFont="1" applyFill="1" applyBorder="1"/>
    <xf numFmtId="0" fontId="1" fillId="72" borderId="55" xfId="0" applyFont="1" applyFill="1" applyBorder="1"/>
    <xf numFmtId="0" fontId="1" fillId="72" borderId="57" xfId="0" applyFont="1" applyFill="1" applyBorder="1"/>
    <xf numFmtId="0" fontId="1" fillId="72" borderId="58" xfId="0" applyFont="1" applyFill="1" applyBorder="1"/>
    <xf numFmtId="3" fontId="1" fillId="72" borderId="59" xfId="0" applyNumberFormat="1" applyFont="1" applyFill="1" applyBorder="1"/>
    <xf numFmtId="9" fontId="78" fillId="72" borderId="57" xfId="0" applyNumberFormat="1" applyFont="1" applyFill="1" applyBorder="1"/>
    <xf numFmtId="9" fontId="1" fillId="72" borderId="60" xfId="0" applyNumberFormat="1" applyFont="1" applyFill="1" applyBorder="1"/>
    <xf numFmtId="43" fontId="1" fillId="0" borderId="0" xfId="1" applyFont="1" applyAlignment="1">
      <alignment horizontal="center" vertical="center" wrapText="1"/>
    </xf>
    <xf numFmtId="0" fontId="0" fillId="0" borderId="68" xfId="0" applyBorder="1" applyAlignment="1">
      <alignment vertical="top"/>
    </xf>
    <xf numFmtId="0" fontId="0" fillId="77" borderId="68" xfId="0" applyFill="1" applyBorder="1" applyAlignment="1">
      <alignment vertical="top"/>
    </xf>
    <xf numFmtId="2" fontId="79" fillId="22" borderId="0" xfId="0" applyNumberFormat="1" applyFont="1" applyFill="1" applyAlignment="1">
      <alignment horizontal="center"/>
    </xf>
    <xf numFmtId="2" fontId="79" fillId="0" borderId="0" xfId="0" applyNumberFormat="1" applyFont="1" applyAlignment="1">
      <alignment horizontal="center"/>
    </xf>
    <xf numFmtId="2" fontId="32" fillId="54" borderId="46" xfId="0" applyNumberFormat="1" applyFont="1" applyFill="1" applyBorder="1" applyAlignment="1">
      <alignment horizontal="center"/>
    </xf>
    <xf numFmtId="2" fontId="32" fillId="54" borderId="67" xfId="0" applyNumberFormat="1" applyFont="1" applyFill="1" applyBorder="1" applyAlignment="1">
      <alignment horizontal="center"/>
    </xf>
    <xf numFmtId="2" fontId="32" fillId="54" borderId="48" xfId="0" applyNumberFormat="1" applyFont="1" applyFill="1" applyBorder="1" applyAlignment="1">
      <alignment horizontal="center"/>
    </xf>
    <xf numFmtId="2" fontId="32" fillId="54" borderId="77" xfId="0" applyNumberFormat="1" applyFont="1" applyFill="1" applyBorder="1" applyAlignment="1">
      <alignment horizontal="center"/>
    </xf>
    <xf numFmtId="2" fontId="32" fillId="54" borderId="40" xfId="0" applyNumberFormat="1" applyFont="1" applyFill="1" applyBorder="1" applyAlignment="1">
      <alignment horizontal="center"/>
    </xf>
    <xf numFmtId="0" fontId="107" fillId="0" borderId="0" xfId="0" applyFont="1"/>
    <xf numFmtId="0" fontId="108" fillId="0" borderId="0" xfId="0" applyFont="1" applyAlignment="1">
      <alignment horizontal="center" wrapText="1"/>
    </xf>
    <xf numFmtId="0" fontId="109" fillId="0" borderId="0" xfId="0" applyFont="1" applyAlignment="1">
      <alignment horizontal="right" vertical="top" wrapText="1"/>
    </xf>
    <xf numFmtId="0" fontId="89" fillId="61" borderId="77" xfId="0" applyFont="1" applyFill="1" applyBorder="1" applyAlignment="1">
      <alignment horizontal="left" vertical="top" wrapText="1"/>
    </xf>
    <xf numFmtId="0" fontId="89" fillId="61" borderId="77" xfId="0" applyFont="1" applyFill="1" applyBorder="1" applyAlignment="1">
      <alignment vertical="top"/>
    </xf>
    <xf numFmtId="4" fontId="99" fillId="0" borderId="77" xfId="0" applyNumberFormat="1" applyFont="1" applyBorder="1" applyAlignment="1">
      <alignment vertical="top"/>
    </xf>
    <xf numFmtId="4" fontId="110" fillId="0" borderId="0" xfId="0" applyNumberFormat="1" applyFont="1"/>
    <xf numFmtId="4" fontId="0" fillId="0" borderId="77" xfId="0" applyNumberFormat="1" applyBorder="1" applyAlignment="1">
      <alignment vertical="top" wrapText="1"/>
    </xf>
    <xf numFmtId="2" fontId="32" fillId="77" borderId="77" xfId="0" applyNumberFormat="1" applyFont="1" applyFill="1" applyBorder="1"/>
    <xf numFmtId="0" fontId="36" fillId="77" borderId="62" xfId="2" applyFont="1" applyFill="1" applyBorder="1"/>
    <xf numFmtId="0" fontId="30" fillId="0" borderId="0" xfId="917" applyFont="1" applyAlignment="1">
      <alignment horizontal="center" vertical="center"/>
    </xf>
    <xf numFmtId="0" fontId="30" fillId="0" borderId="72" xfId="0" applyFont="1" applyBorder="1" applyAlignment="1">
      <alignment vertical="center" readingOrder="1"/>
    </xf>
    <xf numFmtId="43" fontId="78" fillId="0" borderId="0" xfId="1" applyFont="1" applyAlignment="1">
      <alignment horizontal="center" vertical="center" wrapText="1"/>
    </xf>
    <xf numFmtId="0" fontId="1" fillId="2" borderId="77" xfId="1" applyNumberFormat="1" applyFont="1" applyFill="1" applyBorder="1"/>
    <xf numFmtId="0" fontId="30" fillId="0" borderId="0" xfId="0" applyFont="1" applyAlignment="1">
      <alignment vertical="center" readingOrder="1"/>
    </xf>
    <xf numFmtId="14" fontId="30" fillId="0" borderId="0" xfId="0" applyNumberFormat="1" applyFont="1" applyAlignment="1">
      <alignment vertical="center" readingOrder="1"/>
    </xf>
    <xf numFmtId="172" fontId="30" fillId="0" borderId="0" xfId="918" applyFont="1" applyAlignment="1">
      <alignment vertical="center" readingOrder="1"/>
    </xf>
    <xf numFmtId="0" fontId="30" fillId="0" borderId="71" xfId="915" applyFont="1" applyBorder="1" applyAlignment="1">
      <alignment vertical="center" readingOrder="1"/>
    </xf>
    <xf numFmtId="0" fontId="30" fillId="0" borderId="0" xfId="915" applyFont="1" applyAlignment="1">
      <alignment vertical="center" readingOrder="1"/>
    </xf>
    <xf numFmtId="172" fontId="30" fillId="0" borderId="71" xfId="915" applyNumberFormat="1" applyFont="1" applyBorder="1" applyAlignment="1">
      <alignment vertical="center" readingOrder="1"/>
    </xf>
    <xf numFmtId="172" fontId="30" fillId="0" borderId="0" xfId="915" applyNumberFormat="1" applyFont="1" applyAlignment="1">
      <alignment vertical="center" readingOrder="1"/>
    </xf>
    <xf numFmtId="14" fontId="30" fillId="0" borderId="71" xfId="915" applyNumberFormat="1" applyFont="1" applyBorder="1" applyAlignment="1">
      <alignment vertical="center" readingOrder="1"/>
    </xf>
    <xf numFmtId="2" fontId="3" fillId="0" borderId="0" xfId="0" applyNumberFormat="1" applyFont="1" applyAlignment="1">
      <alignment horizontal="center"/>
    </xf>
    <xf numFmtId="0" fontId="30" fillId="0" borderId="71" xfId="0" applyFont="1" applyBorder="1" applyAlignment="1">
      <alignment vertical="top" readingOrder="1"/>
    </xf>
    <xf numFmtId="172" fontId="30" fillId="0" borderId="71" xfId="0" applyNumberFormat="1" applyFont="1" applyBorder="1" applyAlignment="1">
      <alignment vertical="top" readingOrder="1"/>
    </xf>
    <xf numFmtId="14" fontId="68" fillId="0" borderId="71" xfId="0" applyNumberFormat="1" applyFont="1" applyBorder="1"/>
    <xf numFmtId="0" fontId="103" fillId="0" borderId="71" xfId="0" applyFont="1" applyBorder="1" applyAlignment="1">
      <alignment vertical="top" readingOrder="1"/>
    </xf>
    <xf numFmtId="0" fontId="30" fillId="0" borderId="0" xfId="0" applyFont="1" applyAlignment="1">
      <alignment vertical="top" readingOrder="1"/>
    </xf>
    <xf numFmtId="14" fontId="0" fillId="0" borderId="71" xfId="0" applyNumberFormat="1" applyBorder="1"/>
    <xf numFmtId="0" fontId="30" fillId="0" borderId="0" xfId="916" applyNumberFormat="1" applyFont="1" applyAlignment="1">
      <alignment vertical="center" readingOrder="1"/>
    </xf>
    <xf numFmtId="0" fontId="3" fillId="0" borderId="0" xfId="0" applyFont="1" applyAlignment="1">
      <alignment horizontal="center" vertical="top" wrapText="1"/>
    </xf>
    <xf numFmtId="1" fontId="0" fillId="0" borderId="0" xfId="0" applyNumberFormat="1" applyAlignment="1">
      <alignment vertical="top" wrapText="1"/>
    </xf>
    <xf numFmtId="1" fontId="0" fillId="53" borderId="68" xfId="0" applyNumberFormat="1" applyFill="1" applyBorder="1" applyAlignment="1">
      <alignment vertical="top" wrapText="1"/>
    </xf>
    <xf numFmtId="0" fontId="0" fillId="53" borderId="68" xfId="0" applyFill="1" applyBorder="1" applyAlignment="1">
      <alignment vertical="top" wrapText="1"/>
    </xf>
    <xf numFmtId="0" fontId="0" fillId="53" borderId="68" xfId="0" applyFill="1" applyBorder="1" applyAlignment="1">
      <alignment horizontal="center" vertical="top" wrapText="1"/>
    </xf>
    <xf numFmtId="0" fontId="0" fillId="53" borderId="68" xfId="0" quotePrefix="1" applyFill="1" applyBorder="1" applyAlignment="1">
      <alignment horizontal="center" vertical="top" wrapText="1"/>
    </xf>
    <xf numFmtId="1" fontId="3" fillId="0" borderId="0" xfId="1" applyNumberFormat="1" applyFont="1" applyFill="1" applyAlignment="1">
      <alignment vertical="top" wrapText="1"/>
    </xf>
    <xf numFmtId="173" fontId="3" fillId="0" borderId="0" xfId="1" applyNumberFormat="1" applyFont="1" applyFill="1" applyAlignment="1">
      <alignment vertical="top" wrapText="1"/>
    </xf>
    <xf numFmtId="43" fontId="30" fillId="53" borderId="89" xfId="1" applyFont="1" applyFill="1" applyBorder="1" applyAlignment="1">
      <alignment vertical="top" wrapText="1"/>
    </xf>
    <xf numFmtId="43" fontId="30" fillId="53" borderId="91" xfId="1" applyFont="1" applyFill="1" applyBorder="1" applyAlignment="1">
      <alignment vertical="top" wrapText="1"/>
    </xf>
    <xf numFmtId="43" fontId="30" fillId="0" borderId="0" xfId="1" applyFont="1" applyFill="1" applyAlignment="1">
      <alignment vertical="top" wrapText="1"/>
    </xf>
    <xf numFmtId="43" fontId="30" fillId="59" borderId="89" xfId="1" applyFont="1" applyFill="1" applyBorder="1" applyAlignment="1">
      <alignment vertical="top" wrapText="1"/>
    </xf>
    <xf numFmtId="43" fontId="30" fillId="59" borderId="90" xfId="1" applyFont="1" applyFill="1" applyBorder="1" applyAlignment="1">
      <alignment vertical="top" wrapText="1"/>
    </xf>
    <xf numFmtId="43" fontId="30" fillId="59" borderId="91" xfId="1" applyFont="1" applyFill="1" applyBorder="1" applyAlignment="1">
      <alignment vertical="top" wrapText="1"/>
    </xf>
    <xf numFmtId="43" fontId="97" fillId="59" borderId="89" xfId="1" applyFont="1" applyFill="1" applyBorder="1" applyAlignment="1">
      <alignment vertical="top" wrapText="1"/>
    </xf>
    <xf numFmtId="43" fontId="30" fillId="76" borderId="39" xfId="1" applyFont="1" applyFill="1" applyBorder="1" applyAlignment="1">
      <alignment vertical="top" wrapText="1"/>
    </xf>
    <xf numFmtId="43" fontId="30" fillId="53" borderId="39" xfId="1" applyFont="1" applyFill="1" applyBorder="1" applyAlignment="1">
      <alignment vertical="top" wrapText="1"/>
    </xf>
    <xf numFmtId="43" fontId="87" fillId="80" borderId="39" xfId="1" applyFont="1" applyFill="1" applyBorder="1" applyAlignment="1">
      <alignment vertical="top" wrapText="1"/>
    </xf>
    <xf numFmtId="43" fontId="111" fillId="80" borderId="39" xfId="1" applyFont="1" applyFill="1" applyBorder="1" applyAlignment="1">
      <alignment vertical="top" wrapText="1"/>
    </xf>
    <xf numFmtId="43" fontId="97" fillId="76" borderId="39" xfId="1" applyFont="1" applyFill="1" applyBorder="1" applyAlignment="1">
      <alignment vertical="top" wrapText="1"/>
    </xf>
    <xf numFmtId="43" fontId="30" fillId="2" borderId="83" xfId="1" applyFont="1" applyFill="1" applyBorder="1" applyAlignment="1">
      <alignment vertical="top" wrapText="1"/>
    </xf>
    <xf numFmtId="43" fontId="30" fillId="53" borderId="37" xfId="1" applyFont="1" applyFill="1" applyBorder="1" applyAlignment="1">
      <alignment vertical="top" wrapText="1"/>
    </xf>
    <xf numFmtId="43" fontId="30" fillId="2" borderId="37" xfId="1" applyFont="1" applyFill="1" applyBorder="1" applyAlignment="1">
      <alignment vertical="top" wrapText="1"/>
    </xf>
    <xf numFmtId="174" fontId="30" fillId="53" borderId="37" xfId="1" applyNumberFormat="1" applyFont="1" applyFill="1" applyBorder="1" applyAlignment="1">
      <alignment vertical="top" wrapText="1"/>
    </xf>
    <xf numFmtId="174" fontId="30" fillId="53" borderId="77" xfId="1" applyNumberFormat="1" applyFont="1" applyFill="1" applyBorder="1" applyAlignment="1">
      <alignment vertical="top" wrapText="1"/>
    </xf>
    <xf numFmtId="43" fontId="0" fillId="0" borderId="0" xfId="1" applyFont="1" applyFill="1" applyAlignment="1">
      <alignment vertical="top" wrapText="1"/>
    </xf>
    <xf numFmtId="1" fontId="0" fillId="63" borderId="68" xfId="0" applyNumberFormat="1" applyFill="1" applyBorder="1" applyAlignment="1">
      <alignment vertical="top" wrapText="1"/>
    </xf>
    <xf numFmtId="0" fontId="0" fillId="63" borderId="68" xfId="0" applyFill="1" applyBorder="1" applyAlignment="1">
      <alignment horizontal="center" vertical="top" wrapText="1"/>
    </xf>
    <xf numFmtId="0" fontId="0" fillId="63" borderId="68" xfId="0" applyFill="1" applyBorder="1" applyAlignment="1">
      <alignment vertical="top" wrapText="1"/>
    </xf>
    <xf numFmtId="0" fontId="0" fillId="63" borderId="68" xfId="0" quotePrefix="1" applyFill="1" applyBorder="1" applyAlignment="1">
      <alignment horizontal="center" vertical="top" wrapText="1"/>
    </xf>
    <xf numFmtId="1" fontId="0" fillId="21" borderId="92" xfId="0" applyNumberFormat="1" applyFill="1" applyBorder="1" applyAlignment="1">
      <alignment vertical="top" wrapText="1"/>
    </xf>
    <xf numFmtId="0" fontId="0" fillId="21" borderId="68" xfId="0" applyFill="1" applyBorder="1" applyAlignment="1">
      <alignment horizontal="center" vertical="top" wrapText="1"/>
    </xf>
    <xf numFmtId="0" fontId="0" fillId="21" borderId="68" xfId="0" applyFill="1" applyBorder="1" applyAlignment="1">
      <alignment vertical="top" wrapText="1"/>
    </xf>
    <xf numFmtId="0" fontId="0" fillId="21" borderId="68" xfId="0" quotePrefix="1" applyFill="1" applyBorder="1" applyAlignment="1">
      <alignment horizontal="center" vertical="top" wrapText="1"/>
    </xf>
    <xf numFmtId="1" fontId="0" fillId="0" borderId="92" xfId="0" applyNumberFormat="1" applyBorder="1" applyAlignment="1">
      <alignment vertical="top" wrapText="1"/>
    </xf>
    <xf numFmtId="0" fontId="0" fillId="0" borderId="68" xfId="0" applyBorder="1" applyAlignment="1">
      <alignment horizontal="center" vertical="top" wrapText="1"/>
    </xf>
    <xf numFmtId="0" fontId="0" fillId="0" borderId="68" xfId="0" applyBorder="1" applyAlignment="1">
      <alignment vertical="top" wrapText="1"/>
    </xf>
    <xf numFmtId="16" fontId="0" fillId="0" borderId="68" xfId="0" quotePrefix="1" applyNumberFormat="1" applyBorder="1" applyAlignment="1">
      <alignment horizontal="center" vertical="top" wrapText="1"/>
    </xf>
    <xf numFmtId="1" fontId="30" fillId="0" borderId="92" xfId="0" applyNumberFormat="1" applyFont="1" applyBorder="1" applyAlignment="1">
      <alignment vertical="top" wrapText="1"/>
    </xf>
    <xf numFmtId="0" fontId="30" fillId="0" borderId="68" xfId="0" applyFont="1" applyBorder="1" applyAlignment="1">
      <alignment vertical="top"/>
    </xf>
    <xf numFmtId="0" fontId="30" fillId="0" borderId="68" xfId="0" applyFont="1" applyBorder="1" applyAlignment="1">
      <alignment horizontal="center" vertical="top" wrapText="1"/>
    </xf>
    <xf numFmtId="0" fontId="30" fillId="0" borderId="68" xfId="0" applyFont="1" applyBorder="1" applyAlignment="1">
      <alignment vertical="top" wrapText="1"/>
    </xf>
    <xf numFmtId="0" fontId="30" fillId="0" borderId="68" xfId="0" quotePrefix="1" applyFont="1" applyBorder="1" applyAlignment="1">
      <alignment horizontal="center" vertical="top" wrapText="1"/>
    </xf>
    <xf numFmtId="0" fontId="0" fillId="0" borderId="68" xfId="0" quotePrefix="1" applyBorder="1" applyAlignment="1">
      <alignment horizontal="center" vertical="top" wrapText="1"/>
    </xf>
    <xf numFmtId="0" fontId="0" fillId="75" borderId="68" xfId="0" applyFill="1" applyBorder="1" applyAlignment="1">
      <alignment vertical="top" wrapText="1"/>
    </xf>
    <xf numFmtId="0" fontId="0" fillId="75" borderId="68" xfId="0" quotePrefix="1" applyFill="1" applyBorder="1" applyAlignment="1">
      <alignment horizontal="center" vertical="top" wrapText="1"/>
    </xf>
    <xf numFmtId="2" fontId="32" fillId="77" borderId="79" xfId="0" applyNumberFormat="1" applyFont="1" applyFill="1" applyBorder="1"/>
    <xf numFmtId="4" fontId="36" fillId="77" borderId="37" xfId="2" applyNumberFormat="1" applyFont="1" applyFill="1" applyBorder="1"/>
    <xf numFmtId="4" fontId="36" fillId="77" borderId="74" xfId="2" applyNumberFormat="1" applyFont="1" applyFill="1" applyBorder="1"/>
    <xf numFmtId="1" fontId="3" fillId="71" borderId="77" xfId="0" applyNumberFormat="1" applyFont="1" applyFill="1" applyBorder="1"/>
    <xf numFmtId="0" fontId="112" fillId="0" borderId="0" xfId="0" applyFont="1"/>
    <xf numFmtId="0" fontId="76" fillId="0" borderId="14" xfId="0" applyFont="1" applyBorder="1"/>
    <xf numFmtId="0" fontId="76" fillId="0" borderId="18" xfId="0" applyFont="1" applyBorder="1"/>
    <xf numFmtId="0" fontId="76" fillId="0" borderId="93" xfId="0" applyFont="1" applyBorder="1"/>
    <xf numFmtId="0" fontId="76" fillId="0" borderId="56" xfId="0" applyFont="1" applyBorder="1"/>
    <xf numFmtId="0" fontId="76" fillId="0" borderId="94" xfId="0" applyFont="1" applyBorder="1" applyAlignment="1">
      <alignment horizontal="left"/>
    </xf>
    <xf numFmtId="0" fontId="5" fillId="0" borderId="34" xfId="0" applyFont="1" applyBorder="1"/>
    <xf numFmtId="0" fontId="76" fillId="0" borderId="75" xfId="0" applyFont="1" applyBorder="1"/>
    <xf numFmtId="1" fontId="0" fillId="0" borderId="95" xfId="0" applyNumberFormat="1" applyBorder="1" applyAlignment="1">
      <alignment vertical="top" wrapText="1"/>
    </xf>
    <xf numFmtId="0" fontId="0" fillId="0" borderId="95" xfId="0" applyBorder="1" applyAlignment="1">
      <alignment vertical="top" wrapText="1"/>
    </xf>
    <xf numFmtId="0" fontId="76" fillId="0" borderId="0" xfId="0" applyFont="1" applyAlignment="1">
      <alignment vertical="top" wrapText="1"/>
    </xf>
    <xf numFmtId="166" fontId="1" fillId="23" borderId="42" xfId="1" applyNumberFormat="1" applyFont="1" applyFill="1" applyBorder="1" applyAlignment="1">
      <alignment horizontal="center" vertical="center" wrapText="1"/>
    </xf>
    <xf numFmtId="0" fontId="1" fillId="77" borderId="37" xfId="0" applyFont="1" applyFill="1" applyBorder="1"/>
    <xf numFmtId="0" fontId="1" fillId="77" borderId="77" xfId="1" applyNumberFormat="1" applyFont="1" applyFill="1" applyBorder="1"/>
    <xf numFmtId="0" fontId="1" fillId="81" borderId="77" xfId="1" applyNumberFormat="1" applyFont="1" applyFill="1" applyBorder="1"/>
    <xf numFmtId="0" fontId="1" fillId="81" borderId="37" xfId="0" applyFont="1" applyFill="1" applyBorder="1"/>
    <xf numFmtId="2" fontId="32" fillId="81" borderId="77" xfId="0" applyNumberFormat="1" applyFont="1" applyFill="1" applyBorder="1"/>
    <xf numFmtId="0" fontId="79" fillId="0" borderId="0" xfId="919" applyFont="1" applyAlignment="1">
      <alignment horizontal="center" vertical="top" wrapText="1"/>
    </xf>
    <xf numFmtId="2" fontId="79" fillId="0" borderId="0" xfId="919" applyNumberFormat="1" applyFont="1"/>
    <xf numFmtId="0" fontId="79" fillId="0" borderId="0" xfId="919" applyFont="1"/>
    <xf numFmtId="2" fontId="1" fillId="0" borderId="0" xfId="0" applyNumberFormat="1" applyFont="1"/>
    <xf numFmtId="0" fontId="1" fillId="81" borderId="0" xfId="0" applyFont="1" applyFill="1"/>
    <xf numFmtId="4" fontId="0" fillId="77" borderId="77" xfId="0" applyNumberFormat="1" applyFill="1" applyBorder="1" applyAlignment="1">
      <alignment vertical="top" wrapText="1"/>
    </xf>
    <xf numFmtId="0" fontId="0" fillId="0" borderId="0" xfId="0" applyAlignment="1">
      <alignment horizontal="center" vertical="top" wrapText="1"/>
    </xf>
    <xf numFmtId="0" fontId="1" fillId="53" borderId="77" xfId="1" applyNumberFormat="1" applyFont="1" applyFill="1" applyBorder="1"/>
    <xf numFmtId="1" fontId="36" fillId="24" borderId="87" xfId="0" applyNumberFormat="1" applyFont="1" applyFill="1" applyBorder="1" applyAlignment="1">
      <alignment horizontal="center" vertical="top" wrapText="1"/>
    </xf>
    <xf numFmtId="166" fontId="1" fillId="54" borderId="67" xfId="1" applyNumberFormat="1" applyFont="1" applyFill="1" applyBorder="1" applyAlignment="1">
      <alignment horizontal="center" vertical="center" wrapText="1"/>
    </xf>
    <xf numFmtId="0" fontId="0" fillId="56" borderId="0" xfId="0" applyFill="1"/>
    <xf numFmtId="0" fontId="4" fillId="56" borderId="0" xfId="0" applyFont="1" applyFill="1"/>
    <xf numFmtId="0" fontId="31" fillId="56" borderId="0" xfId="0" applyFont="1" applyFill="1" applyAlignment="1">
      <alignment horizontal="center" vertical="center" wrapText="1"/>
    </xf>
    <xf numFmtId="0" fontId="1" fillId="56" borderId="0" xfId="0" applyFont="1" applyFill="1" applyAlignment="1">
      <alignment horizontal="left"/>
    </xf>
    <xf numFmtId="0" fontId="1" fillId="56" borderId="0" xfId="0" applyFont="1" applyFill="1"/>
    <xf numFmtId="0" fontId="4" fillId="56" borderId="0" xfId="0" applyFont="1" applyFill="1" applyAlignment="1">
      <alignment horizontal="center" vertical="center" wrapText="1"/>
    </xf>
    <xf numFmtId="0" fontId="1" fillId="56" borderId="0" xfId="0" quotePrefix="1" applyFont="1" applyFill="1"/>
    <xf numFmtId="0" fontId="33" fillId="56" borderId="0" xfId="0" applyFont="1" applyFill="1"/>
    <xf numFmtId="0" fontId="1" fillId="56" borderId="57" xfId="0" applyFont="1" applyFill="1" applyBorder="1" applyAlignment="1">
      <alignment horizontal="right" wrapText="1"/>
    </xf>
    <xf numFmtId="0" fontId="93" fillId="56" borderId="57" xfId="0" applyFont="1" applyFill="1" applyBorder="1" applyAlignment="1">
      <alignment horizontal="center" vertical="center" wrapText="1"/>
    </xf>
    <xf numFmtId="0" fontId="34" fillId="56" borderId="57" xfId="0" applyFont="1" applyFill="1" applyBorder="1"/>
    <xf numFmtId="0" fontId="94" fillId="56" borderId="0" xfId="0" applyFont="1" applyFill="1"/>
    <xf numFmtId="0" fontId="0" fillId="56" borderId="0" xfId="0" quotePrefix="1" applyFill="1"/>
    <xf numFmtId="0" fontId="34" fillId="56" borderId="0" xfId="0" applyFont="1" applyFill="1"/>
    <xf numFmtId="0" fontId="87" fillId="56" borderId="0" xfId="0" applyFont="1" applyFill="1"/>
    <xf numFmtId="0" fontId="31" fillId="56" borderId="0" xfId="0" applyFont="1" applyFill="1" applyAlignment="1">
      <alignment horizontal="left"/>
    </xf>
    <xf numFmtId="0" fontId="82" fillId="56" borderId="0" xfId="0" applyFont="1" applyFill="1" applyAlignment="1">
      <alignment horizontal="center"/>
    </xf>
    <xf numFmtId="17" fontId="83" fillId="56" borderId="0" xfId="0" quotePrefix="1" applyNumberFormat="1" applyFont="1" applyFill="1" applyAlignment="1">
      <alignment horizontal="center"/>
    </xf>
    <xf numFmtId="0" fontId="31" fillId="56" borderId="0" xfId="0" applyFont="1" applyFill="1" applyAlignment="1">
      <alignment horizontal="right"/>
    </xf>
    <xf numFmtId="2" fontId="3" fillId="0" borderId="77" xfId="0" applyNumberFormat="1" applyFont="1" applyBorder="1"/>
    <xf numFmtId="4" fontId="32" fillId="69" borderId="0" xfId="1" applyNumberFormat="1" applyFont="1" applyFill="1" applyBorder="1"/>
    <xf numFmtId="4" fontId="32" fillId="69" borderId="54" xfId="1" applyNumberFormat="1" applyFont="1" applyFill="1" applyBorder="1"/>
    <xf numFmtId="0" fontId="33" fillId="69" borderId="81" xfId="0" applyFont="1" applyFill="1" applyBorder="1"/>
    <xf numFmtId="0" fontId="33" fillId="69" borderId="81" xfId="0" applyFont="1" applyFill="1" applyBorder="1" applyAlignment="1">
      <alignment horizontal="center"/>
    </xf>
    <xf numFmtId="4" fontId="0" fillId="82" borderId="77" xfId="0" applyNumberFormat="1" applyFill="1" applyBorder="1" applyAlignment="1">
      <alignment vertical="top"/>
    </xf>
    <xf numFmtId="4" fontId="0" fillId="82" borderId="77" xfId="0" applyNumberFormat="1" applyFill="1" applyBorder="1" applyAlignment="1">
      <alignment vertical="top" wrapText="1"/>
    </xf>
    <xf numFmtId="43" fontId="30" fillId="82" borderId="89" xfId="1" applyFont="1" applyFill="1" applyBorder="1" applyAlignment="1">
      <alignment vertical="top" wrapText="1"/>
    </xf>
    <xf numFmtId="0" fontId="84" fillId="66" borderId="96" xfId="912" applyFont="1" applyFill="1" applyBorder="1" applyAlignment="1">
      <alignment horizontal="left" vertical="center" wrapText="1"/>
    </xf>
    <xf numFmtId="0" fontId="84" fillId="66" borderId="96" xfId="912" applyFont="1" applyFill="1" applyBorder="1" applyAlignment="1">
      <alignment horizontal="center" vertical="center" wrapText="1"/>
    </xf>
    <xf numFmtId="49" fontId="84" fillId="66" borderId="96" xfId="912" applyNumberFormat="1" applyFont="1" applyFill="1" applyBorder="1" applyAlignment="1">
      <alignment horizontal="left" vertical="center" wrapText="1"/>
    </xf>
    <xf numFmtId="14" fontId="84" fillId="66" borderId="96" xfId="912" applyNumberFormat="1" applyFont="1" applyFill="1" applyBorder="1" applyAlignment="1">
      <alignment horizontal="center" vertical="center" wrapText="1"/>
    </xf>
    <xf numFmtId="49" fontId="84" fillId="66" borderId="96" xfId="912" applyNumberFormat="1" applyFont="1" applyFill="1" applyBorder="1" applyAlignment="1">
      <alignment horizontal="left" vertical="center"/>
    </xf>
    <xf numFmtId="49" fontId="84" fillId="66" borderId="96" xfId="87" applyNumberFormat="1" applyFont="1" applyFill="1" applyBorder="1" applyAlignment="1">
      <alignment horizontal="center" vertical="center" wrapText="1"/>
    </xf>
    <xf numFmtId="43" fontId="30" fillId="81" borderId="39" xfId="1" applyFont="1" applyFill="1" applyBorder="1" applyAlignment="1">
      <alignment vertical="top" wrapText="1"/>
    </xf>
    <xf numFmtId="43" fontId="30" fillId="81" borderId="77" xfId="1" applyFont="1" applyFill="1" applyBorder="1" applyAlignment="1">
      <alignment vertical="top" wrapText="1"/>
    </xf>
    <xf numFmtId="43" fontId="30" fillId="81" borderId="37" xfId="1" applyFont="1" applyFill="1" applyBorder="1" applyAlignment="1">
      <alignment vertical="top" wrapText="1"/>
    </xf>
    <xf numFmtId="0" fontId="79" fillId="81" borderId="0" xfId="919" applyFont="1" applyFill="1"/>
    <xf numFmtId="4" fontId="0" fillId="81" borderId="77" xfId="0" applyNumberFormat="1" applyFill="1" applyBorder="1" applyAlignment="1">
      <alignment vertical="top"/>
    </xf>
    <xf numFmtId="4" fontId="0" fillId="81" borderId="77" xfId="0" applyNumberFormat="1" applyFill="1" applyBorder="1" applyAlignment="1">
      <alignment vertical="top" wrapText="1"/>
    </xf>
    <xf numFmtId="43" fontId="1" fillId="0" borderId="0" xfId="0" applyNumberFormat="1" applyFont="1"/>
    <xf numFmtId="166" fontId="1" fillId="54" borderId="97" xfId="1" applyNumberFormat="1" applyFont="1" applyFill="1" applyBorder="1" applyAlignment="1">
      <alignment horizontal="center" vertical="center" wrapText="1"/>
    </xf>
    <xf numFmtId="166" fontId="1" fillId="54" borderId="49" xfId="1" applyNumberFormat="1" applyFont="1" applyFill="1" applyBorder="1" applyAlignment="1">
      <alignment horizontal="center" vertical="center" wrapText="1"/>
    </xf>
    <xf numFmtId="166" fontId="1" fillId="54" borderId="98" xfId="1" applyNumberFormat="1" applyFont="1" applyFill="1" applyBorder="1" applyAlignment="1">
      <alignment horizontal="center" vertical="center" wrapText="1"/>
    </xf>
    <xf numFmtId="43" fontId="1" fillId="54" borderId="99" xfId="1" applyFont="1" applyFill="1" applyBorder="1" applyAlignment="1">
      <alignment horizontal="center" vertical="center" wrapText="1"/>
    </xf>
    <xf numFmtId="43" fontId="1" fillId="54" borderId="61" xfId="1" applyFont="1" applyFill="1" applyBorder="1" applyAlignment="1">
      <alignment horizontal="center" vertical="center" wrapText="1"/>
    </xf>
    <xf numFmtId="43" fontId="1" fillId="54" borderId="100" xfId="1" applyFont="1" applyFill="1" applyBorder="1" applyAlignment="1">
      <alignment horizontal="center" vertical="center" wrapText="1"/>
    </xf>
    <xf numFmtId="166" fontId="1" fillId="54" borderId="101" xfId="1" applyNumberFormat="1" applyFont="1" applyFill="1" applyBorder="1" applyAlignment="1">
      <alignment horizontal="center" vertical="center" wrapText="1"/>
    </xf>
    <xf numFmtId="166" fontId="1" fillId="54" borderId="102" xfId="1" applyNumberFormat="1" applyFont="1" applyFill="1" applyBorder="1" applyAlignment="1">
      <alignment horizontal="center" vertical="center" wrapText="1"/>
    </xf>
    <xf numFmtId="166" fontId="113" fillId="54" borderId="101" xfId="1" applyNumberFormat="1" applyFont="1" applyFill="1" applyBorder="1" applyAlignment="1">
      <alignment horizontal="center" vertical="center" wrapText="1"/>
    </xf>
    <xf numFmtId="0" fontId="79" fillId="56" borderId="0" xfId="0" applyFont="1" applyFill="1" applyAlignment="1">
      <alignment horizontal="center" wrapText="1"/>
    </xf>
    <xf numFmtId="0" fontId="33" fillId="22" borderId="20" xfId="0" applyFont="1" applyFill="1" applyBorder="1" applyAlignment="1">
      <alignment horizontal="left"/>
    </xf>
    <xf numFmtId="0" fontId="33" fillId="22" borderId="21" xfId="0" applyFont="1" applyFill="1" applyBorder="1" applyAlignment="1">
      <alignment horizontal="left"/>
    </xf>
    <xf numFmtId="0" fontId="31" fillId="22" borderId="17" xfId="0" applyFont="1" applyFill="1" applyBorder="1" applyAlignment="1">
      <alignment horizontal="center" vertical="center" wrapText="1"/>
    </xf>
    <xf numFmtId="0" fontId="31" fillId="22" borderId="18" xfId="0" applyFont="1" applyFill="1" applyBorder="1" applyAlignment="1">
      <alignment horizontal="center" vertical="center" wrapText="1"/>
    </xf>
    <xf numFmtId="0" fontId="31" fillId="69" borderId="62" xfId="0" applyFont="1" applyFill="1" applyBorder="1" applyAlignment="1">
      <alignment horizontal="center" vertical="center"/>
    </xf>
    <xf numFmtId="0" fontId="31" fillId="69" borderId="81" xfId="0" applyFont="1" applyFill="1" applyBorder="1" applyAlignment="1">
      <alignment horizontal="center" vertical="center"/>
    </xf>
    <xf numFmtId="0" fontId="31" fillId="69" borderId="79" xfId="0" applyFont="1" applyFill="1" applyBorder="1" applyAlignment="1">
      <alignment horizontal="center" vertical="center"/>
    </xf>
    <xf numFmtId="0" fontId="32" fillId="22" borderId="49" xfId="0" applyFont="1" applyFill="1" applyBorder="1" applyAlignment="1">
      <alignment horizontal="left"/>
    </xf>
    <xf numFmtId="0" fontId="32" fillId="22" borderId="81" xfId="0" applyFont="1" applyFill="1" applyBorder="1" applyAlignment="1">
      <alignment horizontal="left"/>
    </xf>
    <xf numFmtId="0" fontId="83" fillId="57" borderId="51" xfId="0" applyFont="1" applyFill="1" applyBorder="1" applyAlignment="1" applyProtection="1">
      <alignment horizontal="center" vertical="center"/>
      <protection locked="0"/>
    </xf>
    <xf numFmtId="0" fontId="83" fillId="57" borderId="52" xfId="0" applyFont="1" applyFill="1" applyBorder="1" applyAlignment="1" applyProtection="1">
      <alignment horizontal="center" vertical="center"/>
      <protection locked="0"/>
    </xf>
    <xf numFmtId="17" fontId="32" fillId="69" borderId="62" xfId="0" quotePrefix="1" applyNumberFormat="1" applyFont="1" applyFill="1" applyBorder="1" applyAlignment="1">
      <alignment horizontal="left"/>
    </xf>
    <xf numFmtId="17" fontId="32" fillId="69" borderId="81" xfId="0" quotePrefix="1" applyNumberFormat="1" applyFont="1" applyFill="1" applyBorder="1" applyAlignment="1">
      <alignment horizontal="left"/>
    </xf>
    <xf numFmtId="0" fontId="82" fillId="69" borderId="62" xfId="0" applyFont="1" applyFill="1" applyBorder="1" applyAlignment="1">
      <alignment horizontal="center"/>
    </xf>
    <xf numFmtId="0" fontId="82" fillId="69" borderId="81" xfId="0" applyFont="1" applyFill="1" applyBorder="1" applyAlignment="1">
      <alignment horizontal="center"/>
    </xf>
    <xf numFmtId="0" fontId="82" fillId="69" borderId="79" xfId="0" applyFont="1" applyFill="1" applyBorder="1" applyAlignment="1">
      <alignment horizontal="center"/>
    </xf>
    <xf numFmtId="0" fontId="33" fillId="22" borderId="49" xfId="0" applyFont="1" applyFill="1" applyBorder="1" applyAlignment="1">
      <alignment horizontal="left"/>
    </xf>
    <xf numFmtId="0" fontId="33" fillId="22" borderId="81" xfId="0" applyFont="1" applyFill="1" applyBorder="1" applyAlignment="1">
      <alignment horizontal="left"/>
    </xf>
    <xf numFmtId="0" fontId="88" fillId="69" borderId="64" xfId="0" applyFont="1" applyFill="1" applyBorder="1" applyAlignment="1">
      <alignment horizontal="center" vertical="center"/>
    </xf>
    <xf numFmtId="0" fontId="88" fillId="69" borderId="65" xfId="0" applyFont="1" applyFill="1" applyBorder="1" applyAlignment="1">
      <alignment horizontal="center" vertical="center"/>
    </xf>
    <xf numFmtId="0" fontId="88" fillId="69" borderId="66" xfId="0" applyFont="1" applyFill="1" applyBorder="1" applyAlignment="1">
      <alignment horizontal="center" vertical="center"/>
    </xf>
    <xf numFmtId="0" fontId="0" fillId="56" borderId="20" xfId="0" applyFill="1" applyBorder="1" applyAlignment="1" applyProtection="1">
      <alignment horizontal="left"/>
      <protection locked="0"/>
    </xf>
    <xf numFmtId="0" fontId="0" fillId="56" borderId="21" xfId="0" applyFill="1" applyBorder="1" applyAlignment="1" applyProtection="1">
      <alignment horizontal="left"/>
      <protection locked="0"/>
    </xf>
    <xf numFmtId="0" fontId="0" fillId="56" borderId="22" xfId="0" applyFill="1" applyBorder="1" applyAlignment="1" applyProtection="1">
      <alignment horizontal="left"/>
      <protection locked="0"/>
    </xf>
    <xf numFmtId="0" fontId="0" fillId="70" borderId="62" xfId="0" applyFill="1" applyBorder="1" applyAlignment="1">
      <alignment horizontal="left"/>
    </xf>
    <xf numFmtId="0" fontId="0" fillId="70" borderId="81" xfId="0" applyFill="1" applyBorder="1" applyAlignment="1">
      <alignment horizontal="left"/>
    </xf>
    <xf numFmtId="0" fontId="0" fillId="70" borderId="79" xfId="0" applyFill="1" applyBorder="1" applyAlignment="1">
      <alignment horizontal="left"/>
    </xf>
    <xf numFmtId="0" fontId="33" fillId="0" borderId="53" xfId="0" applyFont="1" applyBorder="1" applyAlignment="1">
      <alignment horizontal="center" wrapText="1"/>
    </xf>
    <xf numFmtId="0" fontId="33" fillId="0" borderId="54" xfId="0" applyFont="1" applyBorder="1" applyAlignment="1">
      <alignment horizontal="center" wrapText="1"/>
    </xf>
    <xf numFmtId="0" fontId="33" fillId="0" borderId="55" xfId="0" applyFont="1" applyBorder="1" applyAlignment="1">
      <alignment horizontal="center" wrapText="1"/>
    </xf>
    <xf numFmtId="0" fontId="32" fillId="0" borderId="10" xfId="0" quotePrefix="1" applyFont="1" applyBorder="1" applyAlignment="1">
      <alignment horizontal="left" wrapText="1"/>
    </xf>
    <xf numFmtId="2" fontId="0" fillId="0" borderId="10" xfId="0" applyNumberFormat="1" applyBorder="1" applyAlignment="1">
      <alignment horizontal="center" vertical="center" wrapText="1"/>
    </xf>
    <xf numFmtId="0" fontId="35" fillId="0" borderId="20" xfId="0" applyFont="1" applyBorder="1" applyAlignment="1">
      <alignment horizontal="center" vertical="center"/>
    </xf>
    <xf numFmtId="0" fontId="35" fillId="0" borderId="21" xfId="0" applyFont="1" applyBorder="1" applyAlignment="1">
      <alignment horizontal="center" vertical="center"/>
    </xf>
    <xf numFmtId="0" fontId="35" fillId="0" borderId="22" xfId="0" applyFont="1" applyBorder="1" applyAlignment="1">
      <alignment horizontal="center" vertical="center"/>
    </xf>
    <xf numFmtId="0" fontId="69" fillId="0" borderId="20" xfId="0" applyFont="1" applyBorder="1" applyAlignment="1">
      <alignment horizontal="center" wrapText="1"/>
    </xf>
    <xf numFmtId="0" fontId="69" fillId="0" borderId="21" xfId="0" applyFont="1" applyBorder="1" applyAlignment="1">
      <alignment horizontal="center" wrapText="1"/>
    </xf>
    <xf numFmtId="0" fontId="69" fillId="0" borderId="22" xfId="0" applyFont="1" applyBorder="1" applyAlignment="1">
      <alignment horizontal="center" wrapText="1"/>
    </xf>
    <xf numFmtId="0" fontId="89" fillId="61" borderId="77" xfId="0" applyFont="1" applyFill="1" applyBorder="1" applyAlignment="1">
      <alignment horizontal="center"/>
    </xf>
    <xf numFmtId="0" fontId="98" fillId="0" borderId="0" xfId="0" applyFont="1" applyAlignment="1">
      <alignment horizontal="left" wrapText="1"/>
    </xf>
  </cellXfs>
  <cellStyles count="920">
    <cellStyle name="%" xfId="2" xr:uid="{00000000-0005-0000-0000-000000000000}"/>
    <cellStyle name="% 2" xfId="91" xr:uid="{00000000-0005-0000-0000-000001000000}"/>
    <cellStyle name="% 3" xfId="92" xr:uid="{00000000-0005-0000-0000-000002000000}"/>
    <cellStyle name="% 4" xfId="113" xr:uid="{00000000-0005-0000-0000-000003000000}"/>
    <cellStyle name="% 5" xfId="90" xr:uid="{00000000-0005-0000-0000-000004000000}"/>
    <cellStyle name="%_APN" xfId="840" xr:uid="{00000000-0005-0000-0000-000005000000}"/>
    <cellStyle name="%_Print Macro" xfId="85" xr:uid="{00000000-0005-0000-0000-000006000000}"/>
    <cellStyle name="]_x000d__x000a_Zoomed=1_x000d__x000a_Row=0_x000d__x000a_Column=0_x000d__x000a_Height=0_x000d__x000a_Width=0_x000d__x000a_FontName=FoxFont_x000d__x000a_FontStyle=0_x000d__x000a_FontSize=9_x000d__x000a_PrtFontName=FoxPrin" xfId="114" xr:uid="{00000000-0005-0000-0000-000007000000}"/>
    <cellStyle name="]_x000d__x000a_Zoomed=1_x000d__x000a_Row=0_x000d__x000a_Column=0_x000d__x000a_Height=0_x000d__x000a_Width=0_x000d__x000a_FontName=FoxFont_x000d__x000a_FontStyle=0_x000d__x000a_FontSize=9_x000d__x000a_PrtFontName=FoxPrin 2" xfId="115" xr:uid="{00000000-0005-0000-0000-000008000000}"/>
    <cellStyle name="]_x000d__x000a_Zoomed=1_x000d__x000a_Row=0_x000d__x000a_Column=0_x000d__x000a_Height=0_x000d__x000a_Width=0_x000d__x000a_FontName=FoxFont_x000d__x000a_FontStyle=0_x000d__x000a_FontSize=9_x000d__x000a_PrtFontName=FoxPrin 2 2" xfId="116" xr:uid="{00000000-0005-0000-0000-000009000000}"/>
    <cellStyle name="]_x000d__x000a_Zoomed=1_x000d__x000a_Row=0_x000d__x000a_Column=0_x000d__x000a_Height=0_x000d__x000a_Width=0_x000d__x000a_FontName=FoxFont_x000d__x000a_FontStyle=0_x000d__x000a_FontSize=9_x000d__x000a_PrtFontName=FoxPrin 3" xfId="117" xr:uid="{00000000-0005-0000-0000-00000A000000}"/>
    <cellStyle name="]_x000d__x000a_Zoomed=1_x000d__x000a_Row=0_x000d__x000a_Column=0_x000d__x000a_Height=0_x000d__x000a_Width=0_x000d__x000a_FontName=FoxFont_x000d__x000a_FontStyle=0_x000d__x000a_FontSize=9_x000d__x000a_PrtFontName=FoxPrin 3 2" xfId="118" xr:uid="{00000000-0005-0000-0000-00000B000000}"/>
    <cellStyle name="]_x000d__x000a_Zoomed=1_x000d__x000a_Row=0_x000d__x000a_Column=0_x000d__x000a_Height=0_x000d__x000a_Width=0_x000d__x000a_FontName=FoxFont_x000d__x000a_FontStyle=0_x000d__x000a_FontSize=9_x000d__x000a_PrtFontName=FoxPrin 4" xfId="119" xr:uid="{00000000-0005-0000-0000-00000C000000}"/>
    <cellStyle name="]_x000d__x000a_Zoomed=1_x000d__x000a_Row=0_x000d__x000a_Column=0_x000d__x000a_Height=0_x000d__x000a_Width=0_x000d__x000a_FontName=FoxFont_x000d__x000a_FontStyle=0_x000d__x000a_FontSize=9_x000d__x000a_PrtFontName=FoxPrin 5" xfId="120" xr:uid="{00000000-0005-0000-0000-00000D000000}"/>
    <cellStyle name="]_x000d__x000a_Zoomed=1_x000d__x000a_Row=0_x000d__x000a_Column=0_x000d__x000a_Height=0_x000d__x000a_Width=0_x000d__x000a_FontName=FoxFont_x000d__x000a_FontStyle=0_x000d__x000a_FontSize=9_x000d__x000a_PrtFontName=FoxPrin_Savings" xfId="121" xr:uid="{00000000-0005-0000-0000-00000E000000}"/>
    <cellStyle name="+ch" xfId="122" xr:uid="{00000000-0005-0000-0000-00000F000000}"/>
    <cellStyle name="+chv" xfId="123" xr:uid="{00000000-0005-0000-0000-000010000000}"/>
    <cellStyle name="+mh" xfId="124" xr:uid="{00000000-0005-0000-0000-000011000000}"/>
    <cellStyle name="+th" xfId="125" xr:uid="{00000000-0005-0000-0000-000012000000}"/>
    <cellStyle name="+year" xfId="126" xr:uid="{00000000-0005-0000-0000-000013000000}"/>
    <cellStyle name="0,0_x000d__x000a_NA_x000d__x000a_" xfId="127" xr:uid="{00000000-0005-0000-0000-000014000000}"/>
    <cellStyle name="20% - Accent1 2" xfId="3" xr:uid="{00000000-0005-0000-0000-000015000000}"/>
    <cellStyle name="20% - Accent1 2 2" xfId="129" xr:uid="{00000000-0005-0000-0000-000016000000}"/>
    <cellStyle name="20% - Accent1 2 3" xfId="130" xr:uid="{00000000-0005-0000-0000-000017000000}"/>
    <cellStyle name="20% - Accent1 2 4" xfId="128" xr:uid="{00000000-0005-0000-0000-000018000000}"/>
    <cellStyle name="20% - Accent1 3" xfId="131" xr:uid="{00000000-0005-0000-0000-000019000000}"/>
    <cellStyle name="20% - Accent2 2" xfId="4" xr:uid="{00000000-0005-0000-0000-00001A000000}"/>
    <cellStyle name="20% - Accent2 2 2" xfId="133" xr:uid="{00000000-0005-0000-0000-00001B000000}"/>
    <cellStyle name="20% - Accent2 2 3" xfId="134" xr:uid="{00000000-0005-0000-0000-00001C000000}"/>
    <cellStyle name="20% - Accent2 2 4" xfId="132" xr:uid="{00000000-0005-0000-0000-00001D000000}"/>
    <cellStyle name="20% - Accent2 3" xfId="135" xr:uid="{00000000-0005-0000-0000-00001E000000}"/>
    <cellStyle name="20% - Accent3 2" xfId="5" xr:uid="{00000000-0005-0000-0000-00001F000000}"/>
    <cellStyle name="20% - Accent3 2 2" xfId="137" xr:uid="{00000000-0005-0000-0000-000020000000}"/>
    <cellStyle name="20% - Accent3 2 3" xfId="138" xr:uid="{00000000-0005-0000-0000-000021000000}"/>
    <cellStyle name="20% - Accent3 2 4" xfId="136" xr:uid="{00000000-0005-0000-0000-000022000000}"/>
    <cellStyle name="20% - Accent3 3" xfId="139" xr:uid="{00000000-0005-0000-0000-000023000000}"/>
    <cellStyle name="20% - Accent4 2" xfId="6" xr:uid="{00000000-0005-0000-0000-000024000000}"/>
    <cellStyle name="20% - Accent4 2 2" xfId="141" xr:uid="{00000000-0005-0000-0000-000025000000}"/>
    <cellStyle name="20% - Accent4 2 3" xfId="142" xr:uid="{00000000-0005-0000-0000-000026000000}"/>
    <cellStyle name="20% - Accent4 2 4" xfId="140" xr:uid="{00000000-0005-0000-0000-000027000000}"/>
    <cellStyle name="20% - Accent4 3" xfId="143" xr:uid="{00000000-0005-0000-0000-000028000000}"/>
    <cellStyle name="20% - Accent5 2" xfId="7" xr:uid="{00000000-0005-0000-0000-000029000000}"/>
    <cellStyle name="20% - Accent5 2 2" xfId="145" xr:uid="{00000000-0005-0000-0000-00002A000000}"/>
    <cellStyle name="20% - Accent5 2 3" xfId="146" xr:uid="{00000000-0005-0000-0000-00002B000000}"/>
    <cellStyle name="20% - Accent5 2 4" xfId="144" xr:uid="{00000000-0005-0000-0000-00002C000000}"/>
    <cellStyle name="20% - Accent5 3" xfId="147" xr:uid="{00000000-0005-0000-0000-00002D000000}"/>
    <cellStyle name="20% - Accent6 2" xfId="8" xr:uid="{00000000-0005-0000-0000-00002E000000}"/>
    <cellStyle name="20% - Accent6 2 2" xfId="149" xr:uid="{00000000-0005-0000-0000-00002F000000}"/>
    <cellStyle name="20% - Accent6 2 3" xfId="150" xr:uid="{00000000-0005-0000-0000-000030000000}"/>
    <cellStyle name="20% - Accent6 2 4" xfId="148" xr:uid="{00000000-0005-0000-0000-000031000000}"/>
    <cellStyle name="20% - Accent6 3" xfId="151" xr:uid="{00000000-0005-0000-0000-000032000000}"/>
    <cellStyle name="40% - Accent1 2" xfId="9" xr:uid="{00000000-0005-0000-0000-000033000000}"/>
    <cellStyle name="40% - Accent1 2 2" xfId="153" xr:uid="{00000000-0005-0000-0000-000034000000}"/>
    <cellStyle name="40% - Accent1 2 3" xfId="154" xr:uid="{00000000-0005-0000-0000-000035000000}"/>
    <cellStyle name="40% - Accent1 2 4" xfId="152" xr:uid="{00000000-0005-0000-0000-000036000000}"/>
    <cellStyle name="40% - Accent1 3" xfId="155" xr:uid="{00000000-0005-0000-0000-000037000000}"/>
    <cellStyle name="40% - Accent2 2" xfId="10" xr:uid="{00000000-0005-0000-0000-000038000000}"/>
    <cellStyle name="40% - Accent2 2 2" xfId="157" xr:uid="{00000000-0005-0000-0000-000039000000}"/>
    <cellStyle name="40% - Accent2 2 3" xfId="158" xr:uid="{00000000-0005-0000-0000-00003A000000}"/>
    <cellStyle name="40% - Accent2 2 4" xfId="156" xr:uid="{00000000-0005-0000-0000-00003B000000}"/>
    <cellStyle name="40% - Accent2 3" xfId="159" xr:uid="{00000000-0005-0000-0000-00003C000000}"/>
    <cellStyle name="40% - Accent3 2" xfId="11" xr:uid="{00000000-0005-0000-0000-00003D000000}"/>
    <cellStyle name="40% - Accent3 2 2" xfId="161" xr:uid="{00000000-0005-0000-0000-00003E000000}"/>
    <cellStyle name="40% - Accent3 2 3" xfId="162" xr:uid="{00000000-0005-0000-0000-00003F000000}"/>
    <cellStyle name="40% - Accent3 2 4" xfId="160" xr:uid="{00000000-0005-0000-0000-000040000000}"/>
    <cellStyle name="40% - Accent3 3" xfId="163" xr:uid="{00000000-0005-0000-0000-000041000000}"/>
    <cellStyle name="40% - Accent4 2" xfId="12" xr:uid="{00000000-0005-0000-0000-000042000000}"/>
    <cellStyle name="40% - Accent4 2 2" xfId="165" xr:uid="{00000000-0005-0000-0000-000043000000}"/>
    <cellStyle name="40% - Accent4 2 3" xfId="166" xr:uid="{00000000-0005-0000-0000-000044000000}"/>
    <cellStyle name="40% - Accent4 2 4" xfId="164" xr:uid="{00000000-0005-0000-0000-000045000000}"/>
    <cellStyle name="40% - Accent4 3" xfId="167" xr:uid="{00000000-0005-0000-0000-000046000000}"/>
    <cellStyle name="40% - Accent5 2" xfId="13" xr:uid="{00000000-0005-0000-0000-000047000000}"/>
    <cellStyle name="40% - Accent5 2 2" xfId="169" xr:uid="{00000000-0005-0000-0000-000048000000}"/>
    <cellStyle name="40% - Accent5 2 3" xfId="170" xr:uid="{00000000-0005-0000-0000-000049000000}"/>
    <cellStyle name="40% - Accent5 2 4" xfId="168" xr:uid="{00000000-0005-0000-0000-00004A000000}"/>
    <cellStyle name="40% - Accent5 3" xfId="171" xr:uid="{00000000-0005-0000-0000-00004B000000}"/>
    <cellStyle name="40% - Accent6 2" xfId="14" xr:uid="{00000000-0005-0000-0000-00004C000000}"/>
    <cellStyle name="40% - Accent6 2 2" xfId="173" xr:uid="{00000000-0005-0000-0000-00004D000000}"/>
    <cellStyle name="40% - Accent6 2 3" xfId="174" xr:uid="{00000000-0005-0000-0000-00004E000000}"/>
    <cellStyle name="40% - Accent6 2 4" xfId="172" xr:uid="{00000000-0005-0000-0000-00004F000000}"/>
    <cellStyle name="40% - Accent6 3" xfId="175" xr:uid="{00000000-0005-0000-0000-000050000000}"/>
    <cellStyle name="60% - Accent1 2" xfId="15" xr:uid="{00000000-0005-0000-0000-000051000000}"/>
    <cellStyle name="60% - Accent1 2 2" xfId="176" xr:uid="{00000000-0005-0000-0000-000052000000}"/>
    <cellStyle name="60% - Accent1 3" xfId="177" xr:uid="{00000000-0005-0000-0000-000053000000}"/>
    <cellStyle name="60% - Accent2 2" xfId="16" xr:uid="{00000000-0005-0000-0000-000054000000}"/>
    <cellStyle name="60% - Accent2 2 2" xfId="178" xr:uid="{00000000-0005-0000-0000-000055000000}"/>
    <cellStyle name="60% - Accent2 3" xfId="179" xr:uid="{00000000-0005-0000-0000-000056000000}"/>
    <cellStyle name="60% - Accent3 2" xfId="17" xr:uid="{00000000-0005-0000-0000-000057000000}"/>
    <cellStyle name="60% - Accent3 2 2" xfId="180" xr:uid="{00000000-0005-0000-0000-000058000000}"/>
    <cellStyle name="60% - Accent3 3" xfId="181" xr:uid="{00000000-0005-0000-0000-000059000000}"/>
    <cellStyle name="60% - Accent4 2" xfId="18" xr:uid="{00000000-0005-0000-0000-00005A000000}"/>
    <cellStyle name="60% - Accent4 2 2" xfId="182" xr:uid="{00000000-0005-0000-0000-00005B000000}"/>
    <cellStyle name="60% - Accent4 3" xfId="183" xr:uid="{00000000-0005-0000-0000-00005C000000}"/>
    <cellStyle name="60% - Accent5 2" xfId="19" xr:uid="{00000000-0005-0000-0000-00005D000000}"/>
    <cellStyle name="60% - Accent5 2 2" xfId="184" xr:uid="{00000000-0005-0000-0000-00005E000000}"/>
    <cellStyle name="60% - Accent5 3" xfId="185" xr:uid="{00000000-0005-0000-0000-00005F000000}"/>
    <cellStyle name="60% - Accent6 2" xfId="20" xr:uid="{00000000-0005-0000-0000-000060000000}"/>
    <cellStyle name="60% - Accent6 2 2" xfId="186" xr:uid="{00000000-0005-0000-0000-000061000000}"/>
    <cellStyle name="60% - Accent6 3" xfId="187" xr:uid="{00000000-0005-0000-0000-000062000000}"/>
    <cellStyle name="Accent1 2" xfId="21" xr:uid="{00000000-0005-0000-0000-000063000000}"/>
    <cellStyle name="Accent1 2 2" xfId="188" xr:uid="{00000000-0005-0000-0000-000064000000}"/>
    <cellStyle name="Accent1 3" xfId="189" xr:uid="{00000000-0005-0000-0000-000065000000}"/>
    <cellStyle name="Accent2 2" xfId="22" xr:uid="{00000000-0005-0000-0000-000066000000}"/>
    <cellStyle name="Accent2 2 2" xfId="190" xr:uid="{00000000-0005-0000-0000-000067000000}"/>
    <cellStyle name="Accent2 3" xfId="191" xr:uid="{00000000-0005-0000-0000-000068000000}"/>
    <cellStyle name="Accent3 2" xfId="23" xr:uid="{00000000-0005-0000-0000-000069000000}"/>
    <cellStyle name="Accent3 2 2" xfId="192" xr:uid="{00000000-0005-0000-0000-00006A000000}"/>
    <cellStyle name="Accent3 3" xfId="193" xr:uid="{00000000-0005-0000-0000-00006B000000}"/>
    <cellStyle name="Accent4 2" xfId="24" xr:uid="{00000000-0005-0000-0000-00006C000000}"/>
    <cellStyle name="Accent4 2 2" xfId="194" xr:uid="{00000000-0005-0000-0000-00006D000000}"/>
    <cellStyle name="Accent4 3" xfId="195" xr:uid="{00000000-0005-0000-0000-00006E000000}"/>
    <cellStyle name="Accent5 2" xfId="25" xr:uid="{00000000-0005-0000-0000-00006F000000}"/>
    <cellStyle name="Accent5 2 2" xfId="196" xr:uid="{00000000-0005-0000-0000-000070000000}"/>
    <cellStyle name="Accent5 3" xfId="197" xr:uid="{00000000-0005-0000-0000-000071000000}"/>
    <cellStyle name="Accent6 2" xfId="26" xr:uid="{00000000-0005-0000-0000-000072000000}"/>
    <cellStyle name="Accent6 2 2" xfId="198" xr:uid="{00000000-0005-0000-0000-000073000000}"/>
    <cellStyle name="Accent6 3" xfId="199" xr:uid="{00000000-0005-0000-0000-000074000000}"/>
    <cellStyle name="Bad 2" xfId="27" xr:uid="{00000000-0005-0000-0000-000075000000}"/>
    <cellStyle name="Bad 2 2" xfId="200" xr:uid="{00000000-0005-0000-0000-000076000000}"/>
    <cellStyle name="Bad 3" xfId="201" xr:uid="{00000000-0005-0000-0000-000077000000}"/>
    <cellStyle name="Calculation 2" xfId="28" xr:uid="{00000000-0005-0000-0000-000078000000}"/>
    <cellStyle name="Calculation 2 2" xfId="202" xr:uid="{00000000-0005-0000-0000-000079000000}"/>
    <cellStyle name="Calculation 3" xfId="203" xr:uid="{00000000-0005-0000-0000-00007A000000}"/>
    <cellStyle name="Check Cell 2" xfId="29" xr:uid="{00000000-0005-0000-0000-00007B000000}"/>
    <cellStyle name="Check Cell 2 2" xfId="204" xr:uid="{00000000-0005-0000-0000-00007C000000}"/>
    <cellStyle name="Check Cell 3" xfId="205" xr:uid="{00000000-0005-0000-0000-00007D000000}"/>
    <cellStyle name="Comma" xfId="1" builtinId="3"/>
    <cellStyle name="Comma 10" xfId="340" xr:uid="{00000000-0005-0000-0000-00007F000000}"/>
    <cellStyle name="Comma 11" xfId="341" xr:uid="{00000000-0005-0000-0000-000080000000}"/>
    <cellStyle name="Comma 12" xfId="342" xr:uid="{00000000-0005-0000-0000-000081000000}"/>
    <cellStyle name="Comma 13" xfId="343" xr:uid="{00000000-0005-0000-0000-000082000000}"/>
    <cellStyle name="Comma 13 3" xfId="89" xr:uid="{00000000-0005-0000-0000-000083000000}"/>
    <cellStyle name="Comma 14" xfId="344" xr:uid="{00000000-0005-0000-0000-000084000000}"/>
    <cellStyle name="Comma 15" xfId="628" xr:uid="{00000000-0005-0000-0000-000085000000}"/>
    <cellStyle name="Comma 16" xfId="835" xr:uid="{00000000-0005-0000-0000-000086000000}"/>
    <cellStyle name="Comma 17" xfId="837" xr:uid="{00000000-0005-0000-0000-000087000000}"/>
    <cellStyle name="Comma 18" xfId="839" xr:uid="{00000000-0005-0000-0000-000088000000}"/>
    <cellStyle name="Comma 2" xfId="30" xr:uid="{00000000-0005-0000-0000-000089000000}"/>
    <cellStyle name="Comma 2 2" xfId="31" xr:uid="{00000000-0005-0000-0000-00008A000000}"/>
    <cellStyle name="Comma 2 2 2" xfId="32" xr:uid="{00000000-0005-0000-0000-00008B000000}"/>
    <cellStyle name="Comma 2 2 2 2" xfId="345" xr:uid="{00000000-0005-0000-0000-00008C000000}"/>
    <cellStyle name="Comma 2 2 2 3" xfId="346" xr:uid="{00000000-0005-0000-0000-00008D000000}"/>
    <cellStyle name="Comma 2 2 2 4" xfId="639" xr:uid="{00000000-0005-0000-0000-00008E000000}"/>
    <cellStyle name="Comma 2 2 2 5" xfId="640" xr:uid="{00000000-0005-0000-0000-00008F000000}"/>
    <cellStyle name="Comma 2 2 3" xfId="206" xr:uid="{00000000-0005-0000-0000-000090000000}"/>
    <cellStyle name="Comma 2 2 3 2" xfId="872" xr:uid="{00000000-0005-0000-0000-000091000000}"/>
    <cellStyle name="Comma 2 2 3 3" xfId="347" xr:uid="{00000000-0005-0000-0000-000092000000}"/>
    <cellStyle name="Comma 2 2 4" xfId="629" xr:uid="{00000000-0005-0000-0000-000093000000}"/>
    <cellStyle name="Comma 2 3" xfId="33" xr:uid="{00000000-0005-0000-0000-000094000000}"/>
    <cellStyle name="Comma 2 3 2" xfId="208" xr:uid="{00000000-0005-0000-0000-000095000000}"/>
    <cellStyle name="Comma 2 3 2 2" xfId="874" xr:uid="{00000000-0005-0000-0000-000096000000}"/>
    <cellStyle name="Comma 2 3 2 3" xfId="348" xr:uid="{00000000-0005-0000-0000-000097000000}"/>
    <cellStyle name="Comma 2 3 3" xfId="207" xr:uid="{00000000-0005-0000-0000-000098000000}"/>
    <cellStyle name="Comma 2 3 3 2" xfId="873" xr:uid="{00000000-0005-0000-0000-000099000000}"/>
    <cellStyle name="Comma 2 3 3 3" xfId="349" xr:uid="{00000000-0005-0000-0000-00009A000000}"/>
    <cellStyle name="Comma 2 3 4" xfId="641" xr:uid="{00000000-0005-0000-0000-00009B000000}"/>
    <cellStyle name="Comma 2 3 5" xfId="642" xr:uid="{00000000-0005-0000-0000-00009C000000}"/>
    <cellStyle name="Comma 2 4" xfId="34" xr:uid="{00000000-0005-0000-0000-00009D000000}"/>
    <cellStyle name="Comma 2 4 2" xfId="209" xr:uid="{00000000-0005-0000-0000-00009E000000}"/>
    <cellStyle name="Comma 2 4 3" xfId="553" xr:uid="{00000000-0005-0000-0000-00009F000000}"/>
    <cellStyle name="Comma 2 4 4" xfId="877" xr:uid="{00000000-0005-0000-0000-0000A0000000}"/>
    <cellStyle name="Comma 2 5" xfId="35" xr:uid="{00000000-0005-0000-0000-0000A1000000}"/>
    <cellStyle name="Comma 2 6" xfId="210" xr:uid="{00000000-0005-0000-0000-0000A2000000}"/>
    <cellStyle name="Comma 2 7" xfId="102" xr:uid="{00000000-0005-0000-0000-0000A3000000}"/>
    <cellStyle name="Comma 2_APN" xfId="841" xr:uid="{00000000-0005-0000-0000-0000A4000000}"/>
    <cellStyle name="Comma 3" xfId="36" xr:uid="{00000000-0005-0000-0000-0000A5000000}"/>
    <cellStyle name="Comma 3 2" xfId="37" xr:uid="{00000000-0005-0000-0000-0000A6000000}"/>
    <cellStyle name="Comma 3 2 2" xfId="331" xr:uid="{00000000-0005-0000-0000-0000A7000000}"/>
    <cellStyle name="Comma 3 2 2 2" xfId="904" xr:uid="{00000000-0005-0000-0000-0000A8000000}"/>
    <cellStyle name="Comma 3 2 2 3" xfId="350" xr:uid="{00000000-0005-0000-0000-0000A9000000}"/>
    <cellStyle name="Comma 3 2 3" xfId="351" xr:uid="{00000000-0005-0000-0000-0000AA000000}"/>
    <cellStyle name="Comma 3 2 4" xfId="643" xr:uid="{00000000-0005-0000-0000-0000AB000000}"/>
    <cellStyle name="Comma 3 2 5" xfId="644" xr:uid="{00000000-0005-0000-0000-0000AC000000}"/>
    <cellStyle name="Comma 3 3" xfId="108" xr:uid="{00000000-0005-0000-0000-0000AD000000}"/>
    <cellStyle name="Comma 3 3 2" xfId="868" xr:uid="{00000000-0005-0000-0000-0000AE000000}"/>
    <cellStyle name="Comma 3 3 3" xfId="554" xr:uid="{00000000-0005-0000-0000-0000AF000000}"/>
    <cellStyle name="Comma 3 4" xfId="93" xr:uid="{00000000-0005-0000-0000-0000B0000000}"/>
    <cellStyle name="Comma 3_2014-2015 summary" xfId="211" xr:uid="{00000000-0005-0000-0000-0000B1000000}"/>
    <cellStyle name="Comma 4" xfId="38" xr:uid="{00000000-0005-0000-0000-0000B2000000}"/>
    <cellStyle name="Comma 4 2" xfId="39" xr:uid="{00000000-0005-0000-0000-0000B3000000}"/>
    <cellStyle name="Comma 4 2 2" xfId="352" xr:uid="{00000000-0005-0000-0000-0000B4000000}"/>
    <cellStyle name="Comma 4 2 3" xfId="353" xr:uid="{00000000-0005-0000-0000-0000B5000000}"/>
    <cellStyle name="Comma 4 2 4" xfId="645" xr:uid="{00000000-0005-0000-0000-0000B6000000}"/>
    <cellStyle name="Comma 4 2 5" xfId="646" xr:uid="{00000000-0005-0000-0000-0000B7000000}"/>
    <cellStyle name="Comma 4 3" xfId="212" xr:uid="{00000000-0005-0000-0000-0000B8000000}"/>
    <cellStyle name="Comma 4 3 2" xfId="716" xr:uid="{00000000-0005-0000-0000-0000B9000000}"/>
    <cellStyle name="Comma 4 3 3" xfId="875" xr:uid="{00000000-0005-0000-0000-0000BA000000}"/>
    <cellStyle name="Comma 4 3 4" xfId="354" xr:uid="{00000000-0005-0000-0000-0000BB000000}"/>
    <cellStyle name="Comma 4 3_Sheet9" xfId="715" xr:uid="{00000000-0005-0000-0000-0000BC000000}"/>
    <cellStyle name="Comma 4 4" xfId="630" xr:uid="{00000000-0005-0000-0000-0000BD000000}"/>
    <cellStyle name="Comma 4 5" xfId="721" xr:uid="{00000000-0005-0000-0000-0000BE000000}"/>
    <cellStyle name="Comma 4 6" xfId="847" xr:uid="{00000000-0005-0000-0000-0000BF000000}"/>
    <cellStyle name="Comma 4 7" xfId="857" xr:uid="{00000000-0005-0000-0000-0000C0000000}"/>
    <cellStyle name="Comma 4 8" xfId="845" xr:uid="{00000000-0005-0000-0000-0000C1000000}"/>
    <cellStyle name="Comma 4 9" xfId="859" xr:uid="{00000000-0005-0000-0000-0000C2000000}"/>
    <cellStyle name="Comma 4_LOOKUP DATA" xfId="355" xr:uid="{00000000-0005-0000-0000-0000C3000000}"/>
    <cellStyle name="Comma 5" xfId="40" xr:uid="{00000000-0005-0000-0000-0000C4000000}"/>
    <cellStyle name="Comma 5 2" xfId="41" xr:uid="{00000000-0005-0000-0000-0000C5000000}"/>
    <cellStyle name="Comma 5 2 2" xfId="356" xr:uid="{00000000-0005-0000-0000-0000C6000000}"/>
    <cellStyle name="Comma 5 2 3" xfId="357" xr:uid="{00000000-0005-0000-0000-0000C7000000}"/>
    <cellStyle name="Comma 5 2 4" xfId="647" xr:uid="{00000000-0005-0000-0000-0000C8000000}"/>
    <cellStyle name="Comma 5 2 5" xfId="648" xr:uid="{00000000-0005-0000-0000-0000C9000000}"/>
    <cellStyle name="Comma 5 3" xfId="213" xr:uid="{00000000-0005-0000-0000-0000CA000000}"/>
    <cellStyle name="Comma 5 3 2" xfId="876" xr:uid="{00000000-0005-0000-0000-0000CB000000}"/>
    <cellStyle name="Comma 5 3 3" xfId="555" xr:uid="{00000000-0005-0000-0000-0000CC000000}"/>
    <cellStyle name="Comma 5 4" xfId="722" xr:uid="{00000000-0005-0000-0000-0000CD000000}"/>
    <cellStyle name="Comma 5_LOOKUP DATA" xfId="358" xr:uid="{00000000-0005-0000-0000-0000CE000000}"/>
    <cellStyle name="Comma 6" xfId="42" xr:uid="{00000000-0005-0000-0000-0000CF000000}"/>
    <cellStyle name="Comma 6 10" xfId="855" xr:uid="{00000000-0005-0000-0000-0000D0000000}"/>
    <cellStyle name="Comma 6 2" xfId="43" xr:uid="{00000000-0005-0000-0000-0000D1000000}"/>
    <cellStyle name="Comma 6 2 2" xfId="571" xr:uid="{00000000-0005-0000-0000-0000D2000000}"/>
    <cellStyle name="Comma 6 2_Sheet9" xfId="717" xr:uid="{00000000-0005-0000-0000-0000D3000000}"/>
    <cellStyle name="Comma 6 3" xfId="359" xr:uid="{00000000-0005-0000-0000-0000D4000000}"/>
    <cellStyle name="Comma 6 4" xfId="631" xr:uid="{00000000-0005-0000-0000-0000D5000000}"/>
    <cellStyle name="Comma 6 5" xfId="649" xr:uid="{00000000-0005-0000-0000-0000D6000000}"/>
    <cellStyle name="Comma 6 6" xfId="650" xr:uid="{00000000-0005-0000-0000-0000D7000000}"/>
    <cellStyle name="Comma 6 7" xfId="854" xr:uid="{00000000-0005-0000-0000-0000D8000000}"/>
    <cellStyle name="Comma 6 8" xfId="849" xr:uid="{00000000-0005-0000-0000-0000D9000000}"/>
    <cellStyle name="Comma 6 9" xfId="851" xr:uid="{00000000-0005-0000-0000-0000DA000000}"/>
    <cellStyle name="Comma 6_Sheet1" xfId="44" xr:uid="{00000000-0005-0000-0000-0000DB000000}"/>
    <cellStyle name="Comma 7" xfId="45" xr:uid="{00000000-0005-0000-0000-0000DC000000}"/>
    <cellStyle name="Comma 7 10" xfId="858" xr:uid="{00000000-0005-0000-0000-0000DD000000}"/>
    <cellStyle name="Comma 7 11" xfId="360" xr:uid="{00000000-0005-0000-0000-0000DE000000}"/>
    <cellStyle name="Comma 7 2" xfId="361" xr:uid="{00000000-0005-0000-0000-0000DF000000}"/>
    <cellStyle name="Comma 7 2 2" xfId="362" xr:uid="{00000000-0005-0000-0000-0000E0000000}"/>
    <cellStyle name="Comma 7 2 2 2" xfId="723" xr:uid="{00000000-0005-0000-0000-0000E1000000}"/>
    <cellStyle name="Comma 7 2 3" xfId="559" xr:uid="{00000000-0005-0000-0000-0000E2000000}"/>
    <cellStyle name="Comma 7 2 3 2" xfId="724" xr:uid="{00000000-0005-0000-0000-0000E3000000}"/>
    <cellStyle name="Comma 7 2 4" xfId="572" xr:uid="{00000000-0005-0000-0000-0000E4000000}"/>
    <cellStyle name="Comma 7 3" xfId="363" xr:uid="{00000000-0005-0000-0000-0000E5000000}"/>
    <cellStyle name="Comma 7 3 2" xfId="725" xr:uid="{00000000-0005-0000-0000-0000E6000000}"/>
    <cellStyle name="Comma 7 4" xfId="364" xr:uid="{00000000-0005-0000-0000-0000E7000000}"/>
    <cellStyle name="Comma 7 4 2" xfId="726" xr:uid="{00000000-0005-0000-0000-0000E8000000}"/>
    <cellStyle name="Comma 7 5" xfId="365" xr:uid="{00000000-0005-0000-0000-0000E9000000}"/>
    <cellStyle name="Comma 7 5 2" xfId="727" xr:uid="{00000000-0005-0000-0000-0000EA000000}"/>
    <cellStyle name="Comma 7 6" xfId="573" xr:uid="{00000000-0005-0000-0000-0000EB000000}"/>
    <cellStyle name="Comma 7 6 2" xfId="728" xr:uid="{00000000-0005-0000-0000-0000EC000000}"/>
    <cellStyle name="Comma 7 7" xfId="651" xr:uid="{00000000-0005-0000-0000-0000ED000000}"/>
    <cellStyle name="Comma 7 7 2" xfId="729" xr:uid="{00000000-0005-0000-0000-0000EE000000}"/>
    <cellStyle name="Comma 7 8" xfId="652" xr:uid="{00000000-0005-0000-0000-0000EF000000}"/>
    <cellStyle name="Comma 7 9" xfId="653" xr:uid="{00000000-0005-0000-0000-0000F0000000}"/>
    <cellStyle name="Comma 8" xfId="82" xr:uid="{00000000-0005-0000-0000-0000F1000000}"/>
    <cellStyle name="Comma 8 2" xfId="367" xr:uid="{00000000-0005-0000-0000-0000F2000000}"/>
    <cellStyle name="Comma 8 3" xfId="368" xr:uid="{00000000-0005-0000-0000-0000F3000000}"/>
    <cellStyle name="Comma 8 4" xfId="632" xr:uid="{00000000-0005-0000-0000-0000F4000000}"/>
    <cellStyle name="Comma 8 5" xfId="654" xr:uid="{00000000-0005-0000-0000-0000F5000000}"/>
    <cellStyle name="Comma 8 6" xfId="856" xr:uid="{00000000-0005-0000-0000-0000F6000000}"/>
    <cellStyle name="Comma 8 7" xfId="366" xr:uid="{00000000-0005-0000-0000-0000F7000000}"/>
    <cellStyle name="Comma 8_LOOKUP DATA" xfId="369" xr:uid="{00000000-0005-0000-0000-0000F8000000}"/>
    <cellStyle name="Comma 9" xfId="370" xr:uid="{00000000-0005-0000-0000-0000F9000000}"/>
    <cellStyle name="Comma 9 2" xfId="371" xr:uid="{00000000-0005-0000-0000-0000FA000000}"/>
    <cellStyle name="Comma 9_Sheet9" xfId="638" xr:uid="{00000000-0005-0000-0000-0000FB000000}"/>
    <cellStyle name="Currency 2" xfId="46" xr:uid="{00000000-0005-0000-0000-0000FD000000}"/>
    <cellStyle name="Currency 2 2" xfId="47" xr:uid="{00000000-0005-0000-0000-0000FE000000}"/>
    <cellStyle name="Currency 2 2 2" xfId="101" xr:uid="{00000000-0005-0000-0000-0000FF000000}"/>
    <cellStyle name="Currency 2 2 2 2" xfId="865" xr:uid="{00000000-0005-0000-0000-000000010000}"/>
    <cellStyle name="Currency 2 2 2 3" xfId="372" xr:uid="{00000000-0005-0000-0000-000001010000}"/>
    <cellStyle name="Currency 2 2 3" xfId="373" xr:uid="{00000000-0005-0000-0000-000002010000}"/>
    <cellStyle name="Currency 2 2 4" xfId="655" xr:uid="{00000000-0005-0000-0000-000003010000}"/>
    <cellStyle name="Currency 2 2 5" xfId="656" xr:uid="{00000000-0005-0000-0000-000004010000}"/>
    <cellStyle name="Currency 2 3" xfId="374" xr:uid="{00000000-0005-0000-0000-000005010000}"/>
    <cellStyle name="Currency 2 3 2" xfId="718" xr:uid="{00000000-0005-0000-0000-000006010000}"/>
    <cellStyle name="Currency 2 4" xfId="633" xr:uid="{00000000-0005-0000-0000-000007010000}"/>
    <cellStyle name="Currency 3" xfId="48" xr:uid="{00000000-0005-0000-0000-000008010000}"/>
    <cellStyle name="Currency 3 2" xfId="94" xr:uid="{00000000-0005-0000-0000-000009010000}"/>
    <cellStyle name="Currency 3 3" xfId="110" xr:uid="{00000000-0005-0000-0000-00000A010000}"/>
    <cellStyle name="Currency 3 3 2" xfId="870" xr:uid="{00000000-0005-0000-0000-00000B010000}"/>
    <cellStyle name="Currency 3 3 3" xfId="375" xr:uid="{00000000-0005-0000-0000-00000C010000}"/>
    <cellStyle name="Currency 3 4" xfId="657" xr:uid="{00000000-0005-0000-0000-00000D010000}"/>
    <cellStyle name="Currency 3 5" xfId="658" xr:uid="{00000000-0005-0000-0000-00000E010000}"/>
    <cellStyle name="Currency 4" xfId="49" xr:uid="{00000000-0005-0000-0000-00000F010000}"/>
    <cellStyle name="Currency 4 2" xfId="50" xr:uid="{00000000-0005-0000-0000-000010010000}"/>
    <cellStyle name="Currency 4 2 2" xfId="376" xr:uid="{00000000-0005-0000-0000-000011010000}"/>
    <cellStyle name="Currency 4 2 3" xfId="377" xr:uid="{00000000-0005-0000-0000-000012010000}"/>
    <cellStyle name="Currency 4 2 4" xfId="659" xr:uid="{00000000-0005-0000-0000-000013010000}"/>
    <cellStyle name="Currency 4 2 5" xfId="660" xr:uid="{00000000-0005-0000-0000-000014010000}"/>
    <cellStyle name="Currency 4 3" xfId="378" xr:uid="{00000000-0005-0000-0000-000015010000}"/>
    <cellStyle name="Currency 4 4" xfId="634" xr:uid="{00000000-0005-0000-0000-000016010000}"/>
    <cellStyle name="Currency 4 5" xfId="730" xr:uid="{00000000-0005-0000-0000-000017010000}"/>
    <cellStyle name="Currency 5" xfId="51" xr:uid="{00000000-0005-0000-0000-000018010000}"/>
    <cellStyle name="Currency 5 2" xfId="52" xr:uid="{00000000-0005-0000-0000-000019010000}"/>
    <cellStyle name="Currency 5 2 2" xfId="379" xr:uid="{00000000-0005-0000-0000-00001A010000}"/>
    <cellStyle name="Currency 5 2 3" xfId="380" xr:uid="{00000000-0005-0000-0000-00001B010000}"/>
    <cellStyle name="Currency 5 2 4" xfId="661" xr:uid="{00000000-0005-0000-0000-00001C010000}"/>
    <cellStyle name="Currency 5 2 5" xfId="662" xr:uid="{00000000-0005-0000-0000-00001D010000}"/>
    <cellStyle name="Currency 5 3" xfId="556" xr:uid="{00000000-0005-0000-0000-00001E010000}"/>
    <cellStyle name="Currency 6" xfId="53" xr:uid="{00000000-0005-0000-0000-00001F010000}"/>
    <cellStyle name="Currency 6 2" xfId="54" xr:uid="{00000000-0005-0000-0000-000020010000}"/>
    <cellStyle name="Currency 6 2 2" xfId="574" xr:uid="{00000000-0005-0000-0000-000021010000}"/>
    <cellStyle name="Currency 6 3" xfId="381" xr:uid="{00000000-0005-0000-0000-000022010000}"/>
    <cellStyle name="Currency 6 4" xfId="635" xr:uid="{00000000-0005-0000-0000-000023010000}"/>
    <cellStyle name="Currency 6 5" xfId="663" xr:uid="{00000000-0005-0000-0000-000024010000}"/>
    <cellStyle name="Currency 7" xfId="55" xr:uid="{00000000-0005-0000-0000-000025010000}"/>
    <cellStyle name="Currency 7 10" xfId="848" xr:uid="{00000000-0005-0000-0000-000026010000}"/>
    <cellStyle name="Currency 7 11" xfId="382" xr:uid="{00000000-0005-0000-0000-000027010000}"/>
    <cellStyle name="Currency 7 2" xfId="383" xr:uid="{00000000-0005-0000-0000-000028010000}"/>
    <cellStyle name="Currency 7 2 2" xfId="384" xr:uid="{00000000-0005-0000-0000-000029010000}"/>
    <cellStyle name="Currency 7 2 2 2" xfId="731" xr:uid="{00000000-0005-0000-0000-00002A010000}"/>
    <cellStyle name="Currency 7 2 3" xfId="560" xr:uid="{00000000-0005-0000-0000-00002B010000}"/>
    <cellStyle name="Currency 7 2 3 2" xfId="732" xr:uid="{00000000-0005-0000-0000-00002C010000}"/>
    <cellStyle name="Currency 7 2 4" xfId="575" xr:uid="{00000000-0005-0000-0000-00002D010000}"/>
    <cellStyle name="Currency 7 3" xfId="385" xr:uid="{00000000-0005-0000-0000-00002E010000}"/>
    <cellStyle name="Currency 7 3 2" xfId="733" xr:uid="{00000000-0005-0000-0000-00002F010000}"/>
    <cellStyle name="Currency 7 4" xfId="386" xr:uid="{00000000-0005-0000-0000-000030010000}"/>
    <cellStyle name="Currency 7 4 2" xfId="734" xr:uid="{00000000-0005-0000-0000-000031010000}"/>
    <cellStyle name="Currency 7 5" xfId="387" xr:uid="{00000000-0005-0000-0000-000032010000}"/>
    <cellStyle name="Currency 7 5 2" xfId="735" xr:uid="{00000000-0005-0000-0000-000033010000}"/>
    <cellStyle name="Currency 7 6" xfId="576" xr:uid="{00000000-0005-0000-0000-000034010000}"/>
    <cellStyle name="Currency 7 6 2" xfId="736" xr:uid="{00000000-0005-0000-0000-000035010000}"/>
    <cellStyle name="Currency 7 7" xfId="664" xr:uid="{00000000-0005-0000-0000-000036010000}"/>
    <cellStyle name="Currency 7 7 2" xfId="737" xr:uid="{00000000-0005-0000-0000-000037010000}"/>
    <cellStyle name="Currency 7 8" xfId="665" xr:uid="{00000000-0005-0000-0000-000038010000}"/>
    <cellStyle name="Currency 7 9" xfId="666" xr:uid="{00000000-0005-0000-0000-000039010000}"/>
    <cellStyle name="Currency 8" xfId="557" xr:uid="{00000000-0005-0000-0000-00003A010000}"/>
    <cellStyle name="Estimated" xfId="214" xr:uid="{00000000-0005-0000-0000-00003B010000}"/>
    <cellStyle name="Explanatory Text 2" xfId="56" xr:uid="{00000000-0005-0000-0000-00003C010000}"/>
    <cellStyle name="Explanatory Text 2 2" xfId="215" xr:uid="{00000000-0005-0000-0000-00003D010000}"/>
    <cellStyle name="Explanatory Text 3" xfId="216" xr:uid="{00000000-0005-0000-0000-00003E010000}"/>
    <cellStyle name="external input" xfId="217" xr:uid="{00000000-0005-0000-0000-00003F010000}"/>
    <cellStyle name="Good 2" xfId="57" xr:uid="{00000000-0005-0000-0000-000040010000}"/>
    <cellStyle name="Good 2 2" xfId="218" xr:uid="{00000000-0005-0000-0000-000041010000}"/>
    <cellStyle name="Good 3" xfId="219" xr:uid="{00000000-0005-0000-0000-000042010000}"/>
    <cellStyle name="Header" xfId="220" xr:uid="{00000000-0005-0000-0000-000043010000}"/>
    <cellStyle name="HeaderGrant" xfId="221" xr:uid="{00000000-0005-0000-0000-000044010000}"/>
    <cellStyle name="HeaderLEA" xfId="222" xr:uid="{00000000-0005-0000-0000-000045010000}"/>
    <cellStyle name="Heading 1 2" xfId="58" xr:uid="{00000000-0005-0000-0000-000046010000}"/>
    <cellStyle name="Heading 1 2 2" xfId="223" xr:uid="{00000000-0005-0000-0000-000047010000}"/>
    <cellStyle name="Heading 1 3" xfId="224" xr:uid="{00000000-0005-0000-0000-000048010000}"/>
    <cellStyle name="Heading 2 2" xfId="59" xr:uid="{00000000-0005-0000-0000-000049010000}"/>
    <cellStyle name="Heading 2 2 2" xfId="225" xr:uid="{00000000-0005-0000-0000-00004A010000}"/>
    <cellStyle name="Heading 2 3" xfId="226" xr:uid="{00000000-0005-0000-0000-00004B010000}"/>
    <cellStyle name="Heading 3 2" xfId="60" xr:uid="{00000000-0005-0000-0000-00004C010000}"/>
    <cellStyle name="Heading 3 2 2" xfId="227" xr:uid="{00000000-0005-0000-0000-00004D010000}"/>
    <cellStyle name="Heading 3 3" xfId="228" xr:uid="{00000000-0005-0000-0000-00004E010000}"/>
    <cellStyle name="Heading 4 2" xfId="61" xr:uid="{00000000-0005-0000-0000-00004F010000}"/>
    <cellStyle name="Heading 4 2 2" xfId="229" xr:uid="{00000000-0005-0000-0000-000050010000}"/>
    <cellStyle name="Heading 4 3" xfId="230" xr:uid="{00000000-0005-0000-0000-000051010000}"/>
    <cellStyle name="Hyperlink" xfId="914" builtinId="8"/>
    <cellStyle name="Hyperlink 2" xfId="78" xr:uid="{00000000-0005-0000-0000-000053010000}"/>
    <cellStyle name="Hyperlink 2 2" xfId="332" xr:uid="{00000000-0005-0000-0000-000054010000}"/>
    <cellStyle name="Hyperlink 2 2 2" xfId="389" xr:uid="{00000000-0005-0000-0000-000055010000}"/>
    <cellStyle name="Hyperlink 2 2 3" xfId="833" xr:uid="{00000000-0005-0000-0000-000056010000}"/>
    <cellStyle name="Hyperlink 2 2 4" xfId="905" xr:uid="{00000000-0005-0000-0000-000057010000}"/>
    <cellStyle name="Hyperlink 2 2 5" xfId="388" xr:uid="{00000000-0005-0000-0000-000058010000}"/>
    <cellStyle name="Hyperlink 2 2_LOOKUP DATA" xfId="390" xr:uid="{00000000-0005-0000-0000-000059010000}"/>
    <cellStyle name="Hyperlink 2 3" xfId="391" xr:uid="{00000000-0005-0000-0000-00005A010000}"/>
    <cellStyle name="Hyperlink 2 3 2" xfId="392" xr:uid="{00000000-0005-0000-0000-00005B010000}"/>
    <cellStyle name="Hyperlink 2 3_LOOKUP DATA" xfId="393" xr:uid="{00000000-0005-0000-0000-00005C010000}"/>
    <cellStyle name="Hyperlink 2 4" xfId="394" xr:uid="{00000000-0005-0000-0000-00005D010000}"/>
    <cellStyle name="Hyperlink 2 5" xfId="395" xr:uid="{00000000-0005-0000-0000-00005E010000}"/>
    <cellStyle name="Hyperlink 2 6" xfId="396" xr:uid="{00000000-0005-0000-0000-00005F010000}"/>
    <cellStyle name="Hyperlink 2 7" xfId="558" xr:uid="{00000000-0005-0000-0000-000060010000}"/>
    <cellStyle name="Hyperlink 2 8" xfId="601" xr:uid="{00000000-0005-0000-0000-000061010000}"/>
    <cellStyle name="Hyperlink 2_LOOKUP DATA" xfId="397" xr:uid="{00000000-0005-0000-0000-000062010000}"/>
    <cellStyle name="Hyperlink 3" xfId="333" xr:uid="{00000000-0005-0000-0000-000063010000}"/>
    <cellStyle name="Imported" xfId="231" xr:uid="{00000000-0005-0000-0000-000064010000}"/>
    <cellStyle name="Input 2" xfId="62" xr:uid="{00000000-0005-0000-0000-000065010000}"/>
    <cellStyle name="Input 2 2" xfId="232" xr:uid="{00000000-0005-0000-0000-000066010000}"/>
    <cellStyle name="Input 3" xfId="233" xr:uid="{00000000-0005-0000-0000-000067010000}"/>
    <cellStyle name="input 4" xfId="234" xr:uid="{00000000-0005-0000-0000-000068010000}"/>
    <cellStyle name="LEAName" xfId="235" xr:uid="{00000000-0005-0000-0000-000069010000}"/>
    <cellStyle name="LEANumber" xfId="236" xr:uid="{00000000-0005-0000-0000-00006A010000}"/>
    <cellStyle name="Linked Cell 2" xfId="63" xr:uid="{00000000-0005-0000-0000-00006B010000}"/>
    <cellStyle name="Linked Cell 2 2" xfId="237" xr:uid="{00000000-0005-0000-0000-00006C010000}"/>
    <cellStyle name="Linked Cell 3" xfId="238" xr:uid="{00000000-0005-0000-0000-00006D010000}"/>
    <cellStyle name="log projection" xfId="239" xr:uid="{00000000-0005-0000-0000-00006E010000}"/>
    <cellStyle name="Neutral 2" xfId="64" xr:uid="{00000000-0005-0000-0000-00006F010000}"/>
    <cellStyle name="Neutral 2 2" xfId="240" xr:uid="{00000000-0005-0000-0000-000070010000}"/>
    <cellStyle name="Neutral 3" xfId="241" xr:uid="{00000000-0005-0000-0000-000071010000}"/>
    <cellStyle name="Norm੎੎" xfId="242" xr:uid="{00000000-0005-0000-0000-000072010000}"/>
    <cellStyle name="Norm੎੎ 2" xfId="243" xr:uid="{00000000-0005-0000-0000-000073010000}"/>
    <cellStyle name="Norm੎੎_Savings" xfId="244" xr:uid="{00000000-0005-0000-0000-000074010000}"/>
    <cellStyle name="Normal" xfId="0" builtinId="0"/>
    <cellStyle name="Normal 10" xfId="245" xr:uid="{00000000-0005-0000-0000-000076010000}"/>
    <cellStyle name="Normal 10 10" xfId="878" xr:uid="{00000000-0005-0000-0000-000077010000}"/>
    <cellStyle name="Normal 10 11" xfId="398" xr:uid="{00000000-0005-0000-0000-000078010000}"/>
    <cellStyle name="Normal 10 2" xfId="399" xr:uid="{00000000-0005-0000-0000-000079010000}"/>
    <cellStyle name="Normal 10 2 2" xfId="400" xr:uid="{00000000-0005-0000-0000-00007A010000}"/>
    <cellStyle name="Normal 10 2 2 2" xfId="738" xr:uid="{00000000-0005-0000-0000-00007B010000}"/>
    <cellStyle name="Normal 10 2 3" xfId="561" xr:uid="{00000000-0005-0000-0000-00007C010000}"/>
    <cellStyle name="Normal 10 2 3 2" xfId="739" xr:uid="{00000000-0005-0000-0000-00007D010000}"/>
    <cellStyle name="Normal 10 2 4" xfId="577" xr:uid="{00000000-0005-0000-0000-00007E010000}"/>
    <cellStyle name="Normal 10 2_LOOKUP DATA" xfId="611" xr:uid="{00000000-0005-0000-0000-00007F010000}"/>
    <cellStyle name="Normal 10 3" xfId="401" xr:uid="{00000000-0005-0000-0000-000080010000}"/>
    <cellStyle name="Normal 10 3 2" xfId="740" xr:uid="{00000000-0005-0000-0000-000081010000}"/>
    <cellStyle name="Normal 10 4" xfId="402" xr:uid="{00000000-0005-0000-0000-000082010000}"/>
    <cellStyle name="Normal 10 4 2" xfId="741" xr:uid="{00000000-0005-0000-0000-000083010000}"/>
    <cellStyle name="Normal 10 5" xfId="403" xr:uid="{00000000-0005-0000-0000-000084010000}"/>
    <cellStyle name="Normal 10 5 2" xfId="742" xr:uid="{00000000-0005-0000-0000-000085010000}"/>
    <cellStyle name="Normal 10 6" xfId="578" xr:uid="{00000000-0005-0000-0000-000086010000}"/>
    <cellStyle name="Normal 10 6 2" xfId="743" xr:uid="{00000000-0005-0000-0000-000087010000}"/>
    <cellStyle name="Normal 10 7" xfId="667" xr:uid="{00000000-0005-0000-0000-000088010000}"/>
    <cellStyle name="Normal 10 7 2" xfId="744" xr:uid="{00000000-0005-0000-0000-000089010000}"/>
    <cellStyle name="Normal 10 8" xfId="668" xr:uid="{00000000-0005-0000-0000-00008A010000}"/>
    <cellStyle name="Normal 10 9" xfId="669" xr:uid="{00000000-0005-0000-0000-00008B010000}"/>
    <cellStyle name="Normal 10_LOOKUP DATA" xfId="404" xr:uid="{00000000-0005-0000-0000-00008C010000}"/>
    <cellStyle name="Normal 11" xfId="246" xr:uid="{00000000-0005-0000-0000-00008D010000}"/>
    <cellStyle name="Normal 11 2" xfId="406" xr:uid="{00000000-0005-0000-0000-00008E010000}"/>
    <cellStyle name="Normal 11 3" xfId="407" xr:uid="{00000000-0005-0000-0000-00008F010000}"/>
    <cellStyle name="Normal 11 3 2" xfId="745" xr:uid="{00000000-0005-0000-0000-000090010000}"/>
    <cellStyle name="Normal 11 4" xfId="408" xr:uid="{00000000-0005-0000-0000-000091010000}"/>
    <cellStyle name="Normal 11 4 2" xfId="746" xr:uid="{00000000-0005-0000-0000-000092010000}"/>
    <cellStyle name="Normal 11 5" xfId="670" xr:uid="{00000000-0005-0000-0000-000093010000}"/>
    <cellStyle name="Normal 11 5 2" xfId="747" xr:uid="{00000000-0005-0000-0000-000094010000}"/>
    <cellStyle name="Normal 11 6" xfId="879" xr:uid="{00000000-0005-0000-0000-000095010000}"/>
    <cellStyle name="Normal 11 7" xfId="405" xr:uid="{00000000-0005-0000-0000-000096010000}"/>
    <cellStyle name="Normal 11_LOOKUP DATA" xfId="409" xr:uid="{00000000-0005-0000-0000-000097010000}"/>
    <cellStyle name="Normal 12" xfId="247" xr:uid="{00000000-0005-0000-0000-000098010000}"/>
    <cellStyle name="Normal 12 10" xfId="410" xr:uid="{00000000-0005-0000-0000-000099010000}"/>
    <cellStyle name="Normal 12 2" xfId="411" xr:uid="{00000000-0005-0000-0000-00009A010000}"/>
    <cellStyle name="Normal 12 2 2" xfId="412" xr:uid="{00000000-0005-0000-0000-00009B010000}"/>
    <cellStyle name="Normal 12 2 2 2" xfId="748" xr:uid="{00000000-0005-0000-0000-00009C010000}"/>
    <cellStyle name="Normal 12 2 3" xfId="602" xr:uid="{00000000-0005-0000-0000-00009D010000}"/>
    <cellStyle name="Normal 12 2_LOOKUP DATA" xfId="612" xr:uid="{00000000-0005-0000-0000-00009E010000}"/>
    <cellStyle name="Normal 12 3" xfId="413" xr:uid="{00000000-0005-0000-0000-00009F010000}"/>
    <cellStyle name="Normal 12 3 2" xfId="749" xr:uid="{00000000-0005-0000-0000-0000A0010000}"/>
    <cellStyle name="Normal 12 4" xfId="414" xr:uid="{00000000-0005-0000-0000-0000A1010000}"/>
    <cellStyle name="Normal 12 4 2" xfId="750" xr:uid="{00000000-0005-0000-0000-0000A2010000}"/>
    <cellStyle name="Normal 12 5" xfId="562" xr:uid="{00000000-0005-0000-0000-0000A3010000}"/>
    <cellStyle name="Normal 12 5 2" xfId="751" xr:uid="{00000000-0005-0000-0000-0000A4010000}"/>
    <cellStyle name="Normal 12 6" xfId="579" xr:uid="{00000000-0005-0000-0000-0000A5010000}"/>
    <cellStyle name="Normal 12 6 2" xfId="752" xr:uid="{00000000-0005-0000-0000-0000A6010000}"/>
    <cellStyle name="Normal 12 7" xfId="671" xr:uid="{00000000-0005-0000-0000-0000A7010000}"/>
    <cellStyle name="Normal 12 8" xfId="672" xr:uid="{00000000-0005-0000-0000-0000A8010000}"/>
    <cellStyle name="Normal 12 9" xfId="880" xr:uid="{00000000-0005-0000-0000-0000A9010000}"/>
    <cellStyle name="Normal 12_LOOKUP DATA" xfId="415" xr:uid="{00000000-0005-0000-0000-0000AA010000}"/>
    <cellStyle name="Normal 13" xfId="248" xr:uid="{00000000-0005-0000-0000-0000AB010000}"/>
    <cellStyle name="Normal 13 2" xfId="417" xr:uid="{00000000-0005-0000-0000-0000AC010000}"/>
    <cellStyle name="Normal 13 2 2" xfId="753" xr:uid="{00000000-0005-0000-0000-0000AD010000}"/>
    <cellStyle name="Normal 13 3" xfId="418" xr:uid="{00000000-0005-0000-0000-0000AE010000}"/>
    <cellStyle name="Normal 13 3 2" xfId="754" xr:uid="{00000000-0005-0000-0000-0000AF010000}"/>
    <cellStyle name="Normal 13 4" xfId="563" xr:uid="{00000000-0005-0000-0000-0000B0010000}"/>
    <cellStyle name="Normal 13 4 2" xfId="755" xr:uid="{00000000-0005-0000-0000-0000B1010000}"/>
    <cellStyle name="Normal 13 5" xfId="580" xr:uid="{00000000-0005-0000-0000-0000B2010000}"/>
    <cellStyle name="Normal 13 5 2" xfId="756" xr:uid="{00000000-0005-0000-0000-0000B3010000}"/>
    <cellStyle name="Normal 13 6" xfId="673" xr:uid="{00000000-0005-0000-0000-0000B4010000}"/>
    <cellStyle name="Normal 13 7" xfId="674" xr:uid="{00000000-0005-0000-0000-0000B5010000}"/>
    <cellStyle name="Normal 13 8" xfId="881" xr:uid="{00000000-0005-0000-0000-0000B6010000}"/>
    <cellStyle name="Normal 13 9" xfId="416" xr:uid="{00000000-0005-0000-0000-0000B7010000}"/>
    <cellStyle name="Normal 13_LOOKUP DATA" xfId="613" xr:uid="{00000000-0005-0000-0000-0000B8010000}"/>
    <cellStyle name="Normal 14" xfId="330" xr:uid="{00000000-0005-0000-0000-0000B9010000}"/>
    <cellStyle name="Normal 14 2" xfId="420" xr:uid="{00000000-0005-0000-0000-0000BA010000}"/>
    <cellStyle name="Normal 14 2 2" xfId="757" xr:uid="{00000000-0005-0000-0000-0000BB010000}"/>
    <cellStyle name="Normal 14 3" xfId="421" xr:uid="{00000000-0005-0000-0000-0000BC010000}"/>
    <cellStyle name="Normal 14 3 2" xfId="758" xr:uid="{00000000-0005-0000-0000-0000BD010000}"/>
    <cellStyle name="Normal 14 4" xfId="564" xr:uid="{00000000-0005-0000-0000-0000BE010000}"/>
    <cellStyle name="Normal 14 4 2" xfId="759" xr:uid="{00000000-0005-0000-0000-0000BF010000}"/>
    <cellStyle name="Normal 14 5" xfId="581" xr:uid="{00000000-0005-0000-0000-0000C0010000}"/>
    <cellStyle name="Normal 14 5 2" xfId="760" xr:uid="{00000000-0005-0000-0000-0000C1010000}"/>
    <cellStyle name="Normal 14 6" xfId="675" xr:uid="{00000000-0005-0000-0000-0000C2010000}"/>
    <cellStyle name="Normal 14 7" xfId="676" xr:uid="{00000000-0005-0000-0000-0000C3010000}"/>
    <cellStyle name="Normal 14 8" xfId="903" xr:uid="{00000000-0005-0000-0000-0000C4010000}"/>
    <cellStyle name="Normal 14 9" xfId="419" xr:uid="{00000000-0005-0000-0000-0000C5010000}"/>
    <cellStyle name="Normal 14_LOOKUP DATA" xfId="614" xr:uid="{00000000-0005-0000-0000-0000C6010000}"/>
    <cellStyle name="Normal 15" xfId="97" xr:uid="{00000000-0005-0000-0000-0000C7010000}"/>
    <cellStyle name="Normal 15 2" xfId="336" xr:uid="{00000000-0005-0000-0000-0000C8010000}"/>
    <cellStyle name="Normal 15 2 2" xfId="907" xr:uid="{00000000-0005-0000-0000-0000C9010000}"/>
    <cellStyle name="Normal 15 2 3" xfId="603" xr:uid="{00000000-0005-0000-0000-0000CA010000}"/>
    <cellStyle name="Normal 15 3" xfId="677" xr:uid="{00000000-0005-0000-0000-0000CB010000}"/>
    <cellStyle name="Normal 15 4" xfId="862" xr:uid="{00000000-0005-0000-0000-0000CC010000}"/>
    <cellStyle name="Normal 15 5" xfId="422" xr:uid="{00000000-0005-0000-0000-0000CD010000}"/>
    <cellStyle name="Normal 15_Sheet9" xfId="542" xr:uid="{00000000-0005-0000-0000-0000CE010000}"/>
    <cellStyle name="Normal 16" xfId="338" xr:uid="{00000000-0005-0000-0000-0000CF010000}"/>
    <cellStyle name="Normal 16 2" xfId="909" xr:uid="{00000000-0005-0000-0000-0000D0010000}"/>
    <cellStyle name="Normal 16 3" xfId="423" xr:uid="{00000000-0005-0000-0000-0000D1010000}"/>
    <cellStyle name="Normal 17" xfId="99" xr:uid="{00000000-0005-0000-0000-0000D2010000}"/>
    <cellStyle name="Normal 17 2" xfId="863" xr:uid="{00000000-0005-0000-0000-0000D3010000}"/>
    <cellStyle name="Normal 17 3" xfId="424" xr:uid="{00000000-0005-0000-0000-0000D4010000}"/>
    <cellStyle name="Normal 18" xfId="425" xr:uid="{00000000-0005-0000-0000-0000D5010000}"/>
    <cellStyle name="Normal 19" xfId="426" xr:uid="{00000000-0005-0000-0000-0000D6010000}"/>
    <cellStyle name="Normal 2" xfId="65" xr:uid="{00000000-0005-0000-0000-0000D7010000}"/>
    <cellStyle name="Normal 2 10" xfId="250" xr:uid="{00000000-0005-0000-0000-0000D8010000}"/>
    <cellStyle name="Normal 2 10 2" xfId="915" xr:uid="{D5CAEE8E-5246-4AF0-B08F-FBB0BD1F8188}"/>
    <cellStyle name="Normal 2 11" xfId="251" xr:uid="{00000000-0005-0000-0000-0000D9010000}"/>
    <cellStyle name="Normal 2 11 2" xfId="252" xr:uid="{00000000-0005-0000-0000-0000DA010000}"/>
    <cellStyle name="Normal 2 12" xfId="253" xr:uid="{00000000-0005-0000-0000-0000DB010000}"/>
    <cellStyle name="Normal 2 13" xfId="334" xr:uid="{00000000-0005-0000-0000-0000DC010000}"/>
    <cellStyle name="Normal 2 14" xfId="103" xr:uid="{00000000-0005-0000-0000-0000DD010000}"/>
    <cellStyle name="Normal 2 2" xfId="95" xr:uid="{00000000-0005-0000-0000-0000DE010000}"/>
    <cellStyle name="Normal 2 2 2" xfId="255" xr:uid="{00000000-0005-0000-0000-0000DF010000}"/>
    <cellStyle name="Normal 2 2 3" xfId="256" xr:uid="{00000000-0005-0000-0000-0000E0010000}"/>
    <cellStyle name="Normal 2 2 4" xfId="257" xr:uid="{00000000-0005-0000-0000-0000E1010000}"/>
    <cellStyle name="Normal 2 2 5" xfId="105" xr:uid="{00000000-0005-0000-0000-0000E2010000}"/>
    <cellStyle name="Normal 2 2 6" xfId="860" xr:uid="{00000000-0005-0000-0000-0000E3010000}"/>
    <cellStyle name="Normal 2 2 7" xfId="427" xr:uid="{00000000-0005-0000-0000-0000E4010000}"/>
    <cellStyle name="Normal 2 2_2014-2015 summary" xfId="254" xr:uid="{00000000-0005-0000-0000-0000E5010000}"/>
    <cellStyle name="Normal 2 20" xfId="919" xr:uid="{4011482A-3221-498A-B5C1-18DB9FA3DD14}"/>
    <cellStyle name="Normal 2 3" xfId="104" xr:uid="{00000000-0005-0000-0000-0000E6010000}"/>
    <cellStyle name="Normal 2 3 2" xfId="259" xr:uid="{00000000-0005-0000-0000-0000E7010000}"/>
    <cellStyle name="Normal 2 3 2 2" xfId="260" xr:uid="{00000000-0005-0000-0000-0000E8010000}"/>
    <cellStyle name="Normal 2 3 3" xfId="261" xr:uid="{00000000-0005-0000-0000-0000E9010000}"/>
    <cellStyle name="Normal 2 3 4" xfId="866" xr:uid="{00000000-0005-0000-0000-0000EA010000}"/>
    <cellStyle name="Normal 2 3 5" xfId="582" xr:uid="{00000000-0005-0000-0000-0000EB010000}"/>
    <cellStyle name="Normal 2 3_2014-2015 summary" xfId="258" xr:uid="{00000000-0005-0000-0000-0000EC010000}"/>
    <cellStyle name="Normal 2 4" xfId="107" xr:uid="{00000000-0005-0000-0000-0000ED010000}"/>
    <cellStyle name="Normal 2 5" xfId="112" xr:uid="{00000000-0005-0000-0000-0000EE010000}"/>
    <cellStyle name="Normal 2 5 2" xfId="263" xr:uid="{00000000-0005-0000-0000-0000EF010000}"/>
    <cellStyle name="Normal 2 5 3" xfId="264" xr:uid="{00000000-0005-0000-0000-0000F0010000}"/>
    <cellStyle name="Normal 2 5_2014-2015 summary" xfId="262" xr:uid="{00000000-0005-0000-0000-0000F1010000}"/>
    <cellStyle name="Normal 2 6" xfId="265" xr:uid="{00000000-0005-0000-0000-0000F2010000}"/>
    <cellStyle name="Normal 2 6 2" xfId="266" xr:uid="{00000000-0005-0000-0000-0000F3010000}"/>
    <cellStyle name="Normal 2 6 3" xfId="267" xr:uid="{00000000-0005-0000-0000-0000F4010000}"/>
    <cellStyle name="Normal 2 7" xfId="268" xr:uid="{00000000-0005-0000-0000-0000F5010000}"/>
    <cellStyle name="Normal 2 8" xfId="269" xr:uid="{00000000-0005-0000-0000-0000F6010000}"/>
    <cellStyle name="Normal 2 9" xfId="270" xr:uid="{00000000-0005-0000-0000-0000F7010000}"/>
    <cellStyle name="Normal 2_2014-2015 summary" xfId="249" xr:uid="{00000000-0005-0000-0000-0000F8010000}"/>
    <cellStyle name="Normal 20" xfId="428" xr:uid="{00000000-0005-0000-0000-0000F9010000}"/>
    <cellStyle name="Normal 21" xfId="543" xr:uid="{00000000-0005-0000-0000-0000FA010000}"/>
    <cellStyle name="Normal 22" xfId="544" xr:uid="{00000000-0005-0000-0000-0000FB010000}"/>
    <cellStyle name="Normal 23" xfId="545" xr:uid="{00000000-0005-0000-0000-0000FC010000}"/>
    <cellStyle name="Normal 24" xfId="546" xr:uid="{00000000-0005-0000-0000-0000FD010000}"/>
    <cellStyle name="Normal 25" xfId="547" xr:uid="{00000000-0005-0000-0000-0000FE010000}"/>
    <cellStyle name="Normal 26" xfId="834" xr:uid="{00000000-0005-0000-0000-0000FF010000}"/>
    <cellStyle name="Normal 27" xfId="836" xr:uid="{00000000-0005-0000-0000-000000020000}"/>
    <cellStyle name="Normal 28" xfId="838" xr:uid="{00000000-0005-0000-0000-000001020000}"/>
    <cellStyle name="Normal 29" xfId="913" xr:uid="{00000000-0005-0000-0000-000002020000}"/>
    <cellStyle name="Normal 3" xfId="66" xr:uid="{00000000-0005-0000-0000-000003020000}"/>
    <cellStyle name="Normal 3 10" xfId="96" xr:uid="{00000000-0005-0000-0000-000004020000}"/>
    <cellStyle name="Normal 3 10 2" xfId="430" xr:uid="{00000000-0005-0000-0000-000005020000}"/>
    <cellStyle name="Normal 3 10 2 2" xfId="761" xr:uid="{00000000-0005-0000-0000-000006020000}"/>
    <cellStyle name="Normal 3 10 3" xfId="604" xr:uid="{00000000-0005-0000-0000-000007020000}"/>
    <cellStyle name="Normal 3 10 4" xfId="678" xr:uid="{00000000-0005-0000-0000-000008020000}"/>
    <cellStyle name="Normal 3 10 5" xfId="861" xr:uid="{00000000-0005-0000-0000-000009020000}"/>
    <cellStyle name="Normal 3 10 6" xfId="429" xr:uid="{00000000-0005-0000-0000-00000A020000}"/>
    <cellStyle name="Normal 3 10_LOOKUP DATA" xfId="615" xr:uid="{00000000-0005-0000-0000-00000B020000}"/>
    <cellStyle name="Normal 3 11" xfId="431" xr:uid="{00000000-0005-0000-0000-00000C020000}"/>
    <cellStyle name="Normal 3 11 2" xfId="583" xr:uid="{00000000-0005-0000-0000-00000D020000}"/>
    <cellStyle name="Normal 3 11 2 2" xfId="88" xr:uid="{00000000-0005-0000-0000-00000E020000}"/>
    <cellStyle name="Normal 3 11 3" xfId="679" xr:uid="{00000000-0005-0000-0000-00000F020000}"/>
    <cellStyle name="Normal 3 11_LOOKUP DATA" xfId="616" xr:uid="{00000000-0005-0000-0000-000010020000}"/>
    <cellStyle name="Normal 3 12" xfId="540" xr:uid="{00000000-0005-0000-0000-000011020000}"/>
    <cellStyle name="Normal 3 13" xfId="541" xr:uid="{00000000-0005-0000-0000-000012020000}"/>
    <cellStyle name="Normal 3 14" xfId="617" xr:uid="{00000000-0005-0000-0000-000013020000}"/>
    <cellStyle name="Normal 3 15" xfId="618" xr:uid="{00000000-0005-0000-0000-000014020000}"/>
    <cellStyle name="Normal 3 16" xfId="720" xr:uid="{00000000-0005-0000-0000-000015020000}"/>
    <cellStyle name="Normal 3 2" xfId="67" xr:uid="{00000000-0005-0000-0000-000016020000}"/>
    <cellStyle name="Normal 3 2 10" xfId="433" xr:uid="{00000000-0005-0000-0000-000017020000}"/>
    <cellStyle name="Normal 3 2 11" xfId="434" xr:uid="{00000000-0005-0000-0000-000018020000}"/>
    <cellStyle name="Normal 3 2 12" xfId="548" xr:uid="{00000000-0005-0000-0000-000019020000}"/>
    <cellStyle name="Normal 3 2 13" xfId="680" xr:uid="{00000000-0005-0000-0000-00001A020000}"/>
    <cellStyle name="Normal 3 2 14" xfId="432" xr:uid="{00000000-0005-0000-0000-00001B020000}"/>
    <cellStyle name="Normal 3 2 2" xfId="109" xr:uid="{00000000-0005-0000-0000-00001C020000}"/>
    <cellStyle name="Normal 3 2 2 10" xfId="435" xr:uid="{00000000-0005-0000-0000-00001D020000}"/>
    <cellStyle name="Normal 3 2 2 2" xfId="436" xr:uid="{00000000-0005-0000-0000-00001E020000}"/>
    <cellStyle name="Normal 3 2 2 2 2" xfId="762" xr:uid="{00000000-0005-0000-0000-00001F020000}"/>
    <cellStyle name="Normal 3 2 2 3" xfId="437" xr:uid="{00000000-0005-0000-0000-000020020000}"/>
    <cellStyle name="Normal 3 2 2 4" xfId="438" xr:uid="{00000000-0005-0000-0000-000021020000}"/>
    <cellStyle name="Normal 3 2 2 4 2" xfId="763" xr:uid="{00000000-0005-0000-0000-000022020000}"/>
    <cellStyle name="Normal 3 2 2 5" xfId="584" xr:uid="{00000000-0005-0000-0000-000023020000}"/>
    <cellStyle name="Normal 3 2 2 5 2" xfId="764" xr:uid="{00000000-0005-0000-0000-000024020000}"/>
    <cellStyle name="Normal 3 2 2 6" xfId="681" xr:uid="{00000000-0005-0000-0000-000025020000}"/>
    <cellStyle name="Normal 3 2 2 6 2" xfId="765" xr:uid="{00000000-0005-0000-0000-000026020000}"/>
    <cellStyle name="Normal 3 2 2 7" xfId="682" xr:uid="{00000000-0005-0000-0000-000027020000}"/>
    <cellStyle name="Normal 3 2 2 8" xfId="683" xr:uid="{00000000-0005-0000-0000-000028020000}"/>
    <cellStyle name="Normal 3 2 2 9" xfId="869" xr:uid="{00000000-0005-0000-0000-000029020000}"/>
    <cellStyle name="Normal 3 2 2_LOOKUP DATA" xfId="439" xr:uid="{00000000-0005-0000-0000-00002A020000}"/>
    <cellStyle name="Normal 3 2 3" xfId="440" xr:uid="{00000000-0005-0000-0000-00002B020000}"/>
    <cellStyle name="Normal 3 2 3 2" xfId="441" xr:uid="{00000000-0005-0000-0000-00002C020000}"/>
    <cellStyle name="Normal 3 2 3 2 2" xfId="766" xr:uid="{00000000-0005-0000-0000-00002D020000}"/>
    <cellStyle name="Normal 3 2 3 3" xfId="442" xr:uid="{00000000-0005-0000-0000-00002E020000}"/>
    <cellStyle name="Normal 3 2 3 3 2" xfId="767" xr:uid="{00000000-0005-0000-0000-00002F020000}"/>
    <cellStyle name="Normal 3 2 3 4" xfId="565" xr:uid="{00000000-0005-0000-0000-000030020000}"/>
    <cellStyle name="Normal 3 2 3 4 2" xfId="768" xr:uid="{00000000-0005-0000-0000-000031020000}"/>
    <cellStyle name="Normal 3 2 3 5" xfId="585" xr:uid="{00000000-0005-0000-0000-000032020000}"/>
    <cellStyle name="Normal 3 2 3 5 2" xfId="769" xr:uid="{00000000-0005-0000-0000-000033020000}"/>
    <cellStyle name="Normal 3 2 3 6" xfId="684" xr:uid="{00000000-0005-0000-0000-000034020000}"/>
    <cellStyle name="Normal 3 2 3 7" xfId="685" xr:uid="{00000000-0005-0000-0000-000035020000}"/>
    <cellStyle name="Normal 3 2 3_LOOKUP DATA" xfId="619" xr:uid="{00000000-0005-0000-0000-000036020000}"/>
    <cellStyle name="Normal 3 2 4" xfId="443" xr:uid="{00000000-0005-0000-0000-000037020000}"/>
    <cellStyle name="Normal 3 2 4 2" xfId="444" xr:uid="{00000000-0005-0000-0000-000038020000}"/>
    <cellStyle name="Normal 3 2 4 2 2" xfId="770" xr:uid="{00000000-0005-0000-0000-000039020000}"/>
    <cellStyle name="Normal 3 2 4 3" xfId="566" xr:uid="{00000000-0005-0000-0000-00003A020000}"/>
    <cellStyle name="Normal 3 2 4 3 2" xfId="771" xr:uid="{00000000-0005-0000-0000-00003B020000}"/>
    <cellStyle name="Normal 3 2 4 4" xfId="586" xr:uid="{00000000-0005-0000-0000-00003C020000}"/>
    <cellStyle name="Normal 3 2 4_LOOKUP DATA" xfId="620" xr:uid="{00000000-0005-0000-0000-00003D020000}"/>
    <cellStyle name="Normal 3 2 5" xfId="445" xr:uid="{00000000-0005-0000-0000-00003E020000}"/>
    <cellStyle name="Normal 3 2 5 2" xfId="772" xr:uid="{00000000-0005-0000-0000-00003F020000}"/>
    <cellStyle name="Normal 3 2 5_Sheet9" xfId="549" xr:uid="{00000000-0005-0000-0000-000040020000}"/>
    <cellStyle name="Normal 3 2 6" xfId="446" xr:uid="{00000000-0005-0000-0000-000041020000}"/>
    <cellStyle name="Normal 3 2 6 2" xfId="773" xr:uid="{00000000-0005-0000-0000-000042020000}"/>
    <cellStyle name="Normal 3 2 6_Sheet9" xfId="550" xr:uid="{00000000-0005-0000-0000-000043020000}"/>
    <cellStyle name="Normal 3 2 7" xfId="447" xr:uid="{00000000-0005-0000-0000-000044020000}"/>
    <cellStyle name="Normal 3 2 7 2" xfId="774" xr:uid="{00000000-0005-0000-0000-000045020000}"/>
    <cellStyle name="Normal 3 2 7_Sheet9" xfId="551" xr:uid="{00000000-0005-0000-0000-000046020000}"/>
    <cellStyle name="Normal 3 2 8" xfId="448" xr:uid="{00000000-0005-0000-0000-000047020000}"/>
    <cellStyle name="Normal 3 2 8 2" xfId="775" xr:uid="{00000000-0005-0000-0000-000048020000}"/>
    <cellStyle name="Normal 3 2 8_Sheet9" xfId="637" xr:uid="{00000000-0005-0000-0000-000049020000}"/>
    <cellStyle name="Normal 3 2 9" xfId="449" xr:uid="{00000000-0005-0000-0000-00004A020000}"/>
    <cellStyle name="Normal 3 2 9 2" xfId="776" xr:uid="{00000000-0005-0000-0000-00004B020000}"/>
    <cellStyle name="Normal 3 2 9_Sheet9" xfId="636" xr:uid="{00000000-0005-0000-0000-00004C020000}"/>
    <cellStyle name="Normal 3 2_LOOKUP DATA" xfId="450" xr:uid="{00000000-0005-0000-0000-00004D020000}"/>
    <cellStyle name="Normal 3 3" xfId="272" xr:uid="{00000000-0005-0000-0000-00004E020000}"/>
    <cellStyle name="Normal 3 3 2" xfId="452" xr:uid="{00000000-0005-0000-0000-00004F020000}"/>
    <cellStyle name="Normal 3 3 3" xfId="453" xr:uid="{00000000-0005-0000-0000-000050020000}"/>
    <cellStyle name="Normal 3 3 4" xfId="686" xr:uid="{00000000-0005-0000-0000-000051020000}"/>
    <cellStyle name="Normal 3 3 5" xfId="687" xr:uid="{00000000-0005-0000-0000-000052020000}"/>
    <cellStyle name="Normal 3 3 6" xfId="882" xr:uid="{00000000-0005-0000-0000-000053020000}"/>
    <cellStyle name="Normal 3 3 7" xfId="451" xr:uid="{00000000-0005-0000-0000-000054020000}"/>
    <cellStyle name="Normal 3 3_Jan" xfId="843" xr:uid="{00000000-0005-0000-0000-000055020000}"/>
    <cellStyle name="Normal 3 4" xfId="273" xr:uid="{00000000-0005-0000-0000-000056020000}"/>
    <cellStyle name="Normal 3 4 2" xfId="552" xr:uid="{00000000-0005-0000-0000-000057020000}"/>
    <cellStyle name="Normal 3 4 3" xfId="883" xr:uid="{00000000-0005-0000-0000-000058020000}"/>
    <cellStyle name="Normal 3 4 4" xfId="454" xr:uid="{00000000-0005-0000-0000-000059020000}"/>
    <cellStyle name="Normal 3 5" xfId="274" xr:uid="{00000000-0005-0000-0000-00005A020000}"/>
    <cellStyle name="Normal 3 5 10" xfId="884" xr:uid="{00000000-0005-0000-0000-00005B020000}"/>
    <cellStyle name="Normal 3 5 11" xfId="455" xr:uid="{00000000-0005-0000-0000-00005C020000}"/>
    <cellStyle name="Normal 3 5 2" xfId="456" xr:uid="{00000000-0005-0000-0000-00005D020000}"/>
    <cellStyle name="Normal 3 5 2 2" xfId="457" xr:uid="{00000000-0005-0000-0000-00005E020000}"/>
    <cellStyle name="Normal 3 5 2 2 2" xfId="777" xr:uid="{00000000-0005-0000-0000-00005F020000}"/>
    <cellStyle name="Normal 3 5 2 3" xfId="567" xr:uid="{00000000-0005-0000-0000-000060020000}"/>
    <cellStyle name="Normal 3 5 2 3 2" xfId="778" xr:uid="{00000000-0005-0000-0000-000061020000}"/>
    <cellStyle name="Normal 3 5 2 4" xfId="587" xr:uid="{00000000-0005-0000-0000-000062020000}"/>
    <cellStyle name="Normal 3 5 2_LOOKUP DATA" xfId="621" xr:uid="{00000000-0005-0000-0000-000063020000}"/>
    <cellStyle name="Normal 3 5 3" xfId="458" xr:uid="{00000000-0005-0000-0000-000064020000}"/>
    <cellStyle name="Normal 3 5 3 2" xfId="779" xr:uid="{00000000-0005-0000-0000-000065020000}"/>
    <cellStyle name="Normal 3 5 4" xfId="459" xr:uid="{00000000-0005-0000-0000-000066020000}"/>
    <cellStyle name="Normal 3 5 4 2" xfId="780" xr:uid="{00000000-0005-0000-0000-000067020000}"/>
    <cellStyle name="Normal 3 5 5" xfId="460" xr:uid="{00000000-0005-0000-0000-000068020000}"/>
    <cellStyle name="Normal 3 5 5 2" xfId="781" xr:uid="{00000000-0005-0000-0000-000069020000}"/>
    <cellStyle name="Normal 3 5 6" xfId="588" xr:uid="{00000000-0005-0000-0000-00006A020000}"/>
    <cellStyle name="Normal 3 5 6 2" xfId="782" xr:uid="{00000000-0005-0000-0000-00006B020000}"/>
    <cellStyle name="Normal 3 5 7" xfId="688" xr:uid="{00000000-0005-0000-0000-00006C020000}"/>
    <cellStyle name="Normal 3 5 7 2" xfId="783" xr:uid="{00000000-0005-0000-0000-00006D020000}"/>
    <cellStyle name="Normal 3 5 8" xfId="689" xr:uid="{00000000-0005-0000-0000-00006E020000}"/>
    <cellStyle name="Normal 3 5 9" xfId="690" xr:uid="{00000000-0005-0000-0000-00006F020000}"/>
    <cellStyle name="Normal 3 5_LOOKUP DATA" xfId="461" xr:uid="{00000000-0005-0000-0000-000070020000}"/>
    <cellStyle name="Normal 3 6" xfId="335" xr:uid="{00000000-0005-0000-0000-000071020000}"/>
    <cellStyle name="Normal 3 6 10" xfId="906" xr:uid="{00000000-0005-0000-0000-000072020000}"/>
    <cellStyle name="Normal 3 6 11" xfId="462" xr:uid="{00000000-0005-0000-0000-000073020000}"/>
    <cellStyle name="Normal 3 6 2" xfId="463" xr:uid="{00000000-0005-0000-0000-000074020000}"/>
    <cellStyle name="Normal 3 6 2 2" xfId="464" xr:uid="{00000000-0005-0000-0000-000075020000}"/>
    <cellStyle name="Normal 3 6 2 2 2" xfId="784" xr:uid="{00000000-0005-0000-0000-000076020000}"/>
    <cellStyle name="Normal 3 6 2 3" xfId="605" xr:uid="{00000000-0005-0000-0000-000077020000}"/>
    <cellStyle name="Normal 3 6 2_LOOKUP DATA" xfId="622" xr:uid="{00000000-0005-0000-0000-000078020000}"/>
    <cellStyle name="Normal 3 6 3" xfId="465" xr:uid="{00000000-0005-0000-0000-000079020000}"/>
    <cellStyle name="Normal 3 6 3 2" xfId="785" xr:uid="{00000000-0005-0000-0000-00007A020000}"/>
    <cellStyle name="Normal 3 6 4" xfId="466" xr:uid="{00000000-0005-0000-0000-00007B020000}"/>
    <cellStyle name="Normal 3 6 4 2" xfId="786" xr:uid="{00000000-0005-0000-0000-00007C020000}"/>
    <cellStyle name="Normal 3 6 5" xfId="467" xr:uid="{00000000-0005-0000-0000-00007D020000}"/>
    <cellStyle name="Normal 3 6 5 2" xfId="787" xr:uid="{00000000-0005-0000-0000-00007E020000}"/>
    <cellStyle name="Normal 3 6 6" xfId="589" xr:uid="{00000000-0005-0000-0000-00007F020000}"/>
    <cellStyle name="Normal 3 6 6 2" xfId="788" xr:uid="{00000000-0005-0000-0000-000080020000}"/>
    <cellStyle name="Normal 3 6 7" xfId="691" xr:uid="{00000000-0005-0000-0000-000081020000}"/>
    <cellStyle name="Normal 3 6 7 2" xfId="789" xr:uid="{00000000-0005-0000-0000-000082020000}"/>
    <cellStyle name="Normal 3 6 8" xfId="692" xr:uid="{00000000-0005-0000-0000-000083020000}"/>
    <cellStyle name="Normal 3 6 9" xfId="693" xr:uid="{00000000-0005-0000-0000-000084020000}"/>
    <cellStyle name="Normal 3 6_LOOKUP DATA" xfId="468" xr:uid="{00000000-0005-0000-0000-000085020000}"/>
    <cellStyle name="Normal 3 7" xfId="337" xr:uid="{00000000-0005-0000-0000-000086020000}"/>
    <cellStyle name="Normal 3 7 2" xfId="470" xr:uid="{00000000-0005-0000-0000-000087020000}"/>
    <cellStyle name="Normal 3 7 2 2" xfId="790" xr:uid="{00000000-0005-0000-0000-000088020000}"/>
    <cellStyle name="Normal 3 7 3" xfId="471" xr:uid="{00000000-0005-0000-0000-000089020000}"/>
    <cellStyle name="Normal 3 7 4" xfId="472" xr:uid="{00000000-0005-0000-0000-00008A020000}"/>
    <cellStyle name="Normal 3 7 4 2" xfId="791" xr:uid="{00000000-0005-0000-0000-00008B020000}"/>
    <cellStyle name="Normal 3 7 4_Sheet9" xfId="590" xr:uid="{00000000-0005-0000-0000-00008C020000}"/>
    <cellStyle name="Normal 3 7 5" xfId="606" xr:uid="{00000000-0005-0000-0000-00008D020000}"/>
    <cellStyle name="Normal 3 7 6" xfId="694" xr:uid="{00000000-0005-0000-0000-00008E020000}"/>
    <cellStyle name="Normal 3 7 7" xfId="695" xr:uid="{00000000-0005-0000-0000-00008F020000}"/>
    <cellStyle name="Normal 3 7 8" xfId="908" xr:uid="{00000000-0005-0000-0000-000090020000}"/>
    <cellStyle name="Normal 3 7 9" xfId="469" xr:uid="{00000000-0005-0000-0000-000091020000}"/>
    <cellStyle name="Normal 3 7_LOOKUP DATA" xfId="473" xr:uid="{00000000-0005-0000-0000-000092020000}"/>
    <cellStyle name="Normal 3 8" xfId="339" xr:uid="{00000000-0005-0000-0000-000093020000}"/>
    <cellStyle name="Normal 3 8 2" xfId="475" xr:uid="{00000000-0005-0000-0000-000094020000}"/>
    <cellStyle name="Normal 3 8 3" xfId="591" xr:uid="{00000000-0005-0000-0000-000095020000}"/>
    <cellStyle name="Normal 3 8 3 2" xfId="792" xr:uid="{00000000-0005-0000-0000-000096020000}"/>
    <cellStyle name="Normal 3 8 4" xfId="696" xr:uid="{00000000-0005-0000-0000-000097020000}"/>
    <cellStyle name="Normal 3 8 5" xfId="697" xr:uid="{00000000-0005-0000-0000-000098020000}"/>
    <cellStyle name="Normal 3 8 6" xfId="910" xr:uid="{00000000-0005-0000-0000-000099020000}"/>
    <cellStyle name="Normal 3 8 7" xfId="474" xr:uid="{00000000-0005-0000-0000-00009A020000}"/>
    <cellStyle name="Normal 3 8_LOOKUP DATA" xfId="623" xr:uid="{00000000-0005-0000-0000-00009B020000}"/>
    <cellStyle name="Normal 3 9" xfId="100" xr:uid="{00000000-0005-0000-0000-00009C020000}"/>
    <cellStyle name="Normal 3 9 2" xfId="477" xr:uid="{00000000-0005-0000-0000-00009D020000}"/>
    <cellStyle name="Normal 3 9 3" xfId="592" xr:uid="{00000000-0005-0000-0000-00009E020000}"/>
    <cellStyle name="Normal 3 9 3 2" xfId="793" xr:uid="{00000000-0005-0000-0000-00009F020000}"/>
    <cellStyle name="Normal 3 9 3_Sheet9" xfId="607" xr:uid="{00000000-0005-0000-0000-0000A0020000}"/>
    <cellStyle name="Normal 3 9 4" xfId="698" xr:uid="{00000000-0005-0000-0000-0000A1020000}"/>
    <cellStyle name="Normal 3 9 5" xfId="699" xr:uid="{00000000-0005-0000-0000-0000A2020000}"/>
    <cellStyle name="Normal 3 9 6" xfId="864" xr:uid="{00000000-0005-0000-0000-0000A3020000}"/>
    <cellStyle name="Normal 3 9 7" xfId="476" xr:uid="{00000000-0005-0000-0000-0000A4020000}"/>
    <cellStyle name="Normal 3 9_LOOKUP DATA" xfId="624" xr:uid="{00000000-0005-0000-0000-0000A5020000}"/>
    <cellStyle name="Normal 3_2014-2015 summary" xfId="271" xr:uid="{00000000-0005-0000-0000-0000A6020000}"/>
    <cellStyle name="Normal 3_April" xfId="917" xr:uid="{DE8A8179-4B93-461A-A657-AC40CD65B70B}"/>
    <cellStyle name="Normal 4" xfId="68" xr:uid="{00000000-0005-0000-0000-0000A8020000}"/>
    <cellStyle name="Normal 4 10" xfId="608" xr:uid="{00000000-0005-0000-0000-0000A9020000}"/>
    <cellStyle name="Normal 4 2" xfId="69" xr:uid="{00000000-0005-0000-0000-0000AA020000}"/>
    <cellStyle name="Normal 4 2 2" xfId="276" xr:uid="{00000000-0005-0000-0000-0000AB020000}"/>
    <cellStyle name="Normal 4 2 2 2" xfId="885" xr:uid="{00000000-0005-0000-0000-0000AC020000}"/>
    <cellStyle name="Normal 4 2 2 3" xfId="478" xr:uid="{00000000-0005-0000-0000-0000AD020000}"/>
    <cellStyle name="Normal 4 2 3" xfId="479" xr:uid="{00000000-0005-0000-0000-0000AE020000}"/>
    <cellStyle name="Normal 4 2 4" xfId="700" xr:uid="{00000000-0005-0000-0000-0000AF020000}"/>
    <cellStyle name="Normal 4 2 5" xfId="701" xr:uid="{00000000-0005-0000-0000-0000B0020000}"/>
    <cellStyle name="Normal 4 2_LOOKUP DATA" xfId="480" xr:uid="{00000000-0005-0000-0000-0000B1020000}"/>
    <cellStyle name="Normal 4 3" xfId="83" xr:uid="{00000000-0005-0000-0000-0000B2020000}"/>
    <cellStyle name="Normal 4 3 2" xfId="277" xr:uid="{00000000-0005-0000-0000-0000B3020000}"/>
    <cellStyle name="Normal 4 3 2 2" xfId="886" xr:uid="{00000000-0005-0000-0000-0000B4020000}"/>
    <cellStyle name="Normal 4 3 2 3" xfId="482" xr:uid="{00000000-0005-0000-0000-0000B5020000}"/>
    <cellStyle name="Normal 4 3 3" xfId="719" xr:uid="{00000000-0005-0000-0000-0000B6020000}"/>
    <cellStyle name="Normal 4 3 4" xfId="852" xr:uid="{00000000-0005-0000-0000-0000B7020000}"/>
    <cellStyle name="Normal 4 3 5" xfId="481" xr:uid="{00000000-0005-0000-0000-0000B8020000}"/>
    <cellStyle name="Normal 4 3_LOOKUP DATA" xfId="483" xr:uid="{00000000-0005-0000-0000-0000B9020000}"/>
    <cellStyle name="Normal 4 4" xfId="79" xr:uid="{00000000-0005-0000-0000-0000BA020000}"/>
    <cellStyle name="Normal 4 4 2" xfId="278" xr:uid="{00000000-0005-0000-0000-0000BB020000}"/>
    <cellStyle name="Normal 4 4 2 2" xfId="887" xr:uid="{00000000-0005-0000-0000-0000BC020000}"/>
    <cellStyle name="Normal 4 4 2 3" xfId="846" xr:uid="{00000000-0005-0000-0000-0000BD020000}"/>
    <cellStyle name="Normal 4 4 3" xfId="484" xr:uid="{00000000-0005-0000-0000-0000BE020000}"/>
    <cellStyle name="Normal 4 5" xfId="106" xr:uid="{00000000-0005-0000-0000-0000BF020000}"/>
    <cellStyle name="Normal 4 5 2" xfId="867" xr:uid="{00000000-0005-0000-0000-0000C0020000}"/>
    <cellStyle name="Normal 4 5 3" xfId="485" xr:uid="{00000000-0005-0000-0000-0000C1020000}"/>
    <cellStyle name="Normal 4 6" xfId="486" xr:uid="{00000000-0005-0000-0000-0000C2020000}"/>
    <cellStyle name="Normal 4 7" xfId="487" xr:uid="{00000000-0005-0000-0000-0000C3020000}"/>
    <cellStyle name="Normal 4 8" xfId="488" xr:uid="{00000000-0005-0000-0000-0000C4020000}"/>
    <cellStyle name="Normal 4 9" xfId="609" xr:uid="{00000000-0005-0000-0000-0000C5020000}"/>
    <cellStyle name="Normal 4_2014-2015 summary" xfId="275" xr:uid="{00000000-0005-0000-0000-0000C6020000}"/>
    <cellStyle name="Normal 44" xfId="842" xr:uid="{00000000-0005-0000-0000-0000C7020000}"/>
    <cellStyle name="Normal 5" xfId="70" xr:uid="{00000000-0005-0000-0000-0000C8020000}"/>
    <cellStyle name="Normal 5 10" xfId="490" xr:uid="{00000000-0005-0000-0000-0000C9020000}"/>
    <cellStyle name="Normal 5 11" xfId="491" xr:uid="{00000000-0005-0000-0000-0000CA020000}"/>
    <cellStyle name="Normal 5 12" xfId="702" xr:uid="{00000000-0005-0000-0000-0000CB020000}"/>
    <cellStyle name="Normal 5 13" xfId="489" xr:uid="{00000000-0005-0000-0000-0000CC020000}"/>
    <cellStyle name="Normal 5 2" xfId="84" xr:uid="{00000000-0005-0000-0000-0000CD020000}"/>
    <cellStyle name="Normal 5 2 2" xfId="281" xr:uid="{00000000-0005-0000-0000-0000CE020000}"/>
    <cellStyle name="Normal 5 2 2 2" xfId="889" xr:uid="{00000000-0005-0000-0000-0000CF020000}"/>
    <cellStyle name="Normal 5 2 2 3" xfId="493" xr:uid="{00000000-0005-0000-0000-0000D0020000}"/>
    <cellStyle name="Normal 5 2 3" xfId="280" xr:uid="{00000000-0005-0000-0000-0000D1020000}"/>
    <cellStyle name="Normal 5 2 3 2" xfId="888" xr:uid="{00000000-0005-0000-0000-0000D2020000}"/>
    <cellStyle name="Normal 5 2 3 3" xfId="494" xr:uid="{00000000-0005-0000-0000-0000D3020000}"/>
    <cellStyle name="Normal 5 2 4" xfId="703" xr:uid="{00000000-0005-0000-0000-0000D4020000}"/>
    <cellStyle name="Normal 5 2 5" xfId="704" xr:uid="{00000000-0005-0000-0000-0000D5020000}"/>
    <cellStyle name="Normal 5 2 6" xfId="492" xr:uid="{00000000-0005-0000-0000-0000D6020000}"/>
    <cellStyle name="Normal 5 2_LOOKUP DATA" xfId="495" xr:uid="{00000000-0005-0000-0000-0000D7020000}"/>
    <cellStyle name="Normal 5 3" xfId="80" xr:uid="{00000000-0005-0000-0000-0000D8020000}"/>
    <cellStyle name="Normal 5 3 2" xfId="282" xr:uid="{00000000-0005-0000-0000-0000D9020000}"/>
    <cellStyle name="Normal 5 3 2 2" xfId="794" xr:uid="{00000000-0005-0000-0000-0000DA020000}"/>
    <cellStyle name="Normal 5 3 2 3" xfId="890" xr:uid="{00000000-0005-0000-0000-0000DB020000}"/>
    <cellStyle name="Normal 5 3 2 4" xfId="497" xr:uid="{00000000-0005-0000-0000-0000DC020000}"/>
    <cellStyle name="Normal 5 3 3" xfId="498" xr:uid="{00000000-0005-0000-0000-0000DD020000}"/>
    <cellStyle name="Normal 5 3 3 2" xfId="795" xr:uid="{00000000-0005-0000-0000-0000DE020000}"/>
    <cellStyle name="Normal 5 3 4" xfId="593" xr:uid="{00000000-0005-0000-0000-0000DF020000}"/>
    <cellStyle name="Normal 5 3 4 2" xfId="796" xr:uid="{00000000-0005-0000-0000-0000E0020000}"/>
    <cellStyle name="Normal 5 3 5" xfId="797" xr:uid="{00000000-0005-0000-0000-0000E1020000}"/>
    <cellStyle name="Normal 5 3 6" xfId="850" xr:uid="{00000000-0005-0000-0000-0000E2020000}"/>
    <cellStyle name="Normal 5 3 7" xfId="496" xr:uid="{00000000-0005-0000-0000-0000E3020000}"/>
    <cellStyle name="Normal 5 3_LOOKUP DATA" xfId="499" xr:uid="{00000000-0005-0000-0000-0000E4020000}"/>
    <cellStyle name="Normal 5 4" xfId="111" xr:uid="{00000000-0005-0000-0000-0000E5020000}"/>
    <cellStyle name="Normal 5 4 2" xfId="798" xr:uid="{00000000-0005-0000-0000-0000E6020000}"/>
    <cellStyle name="Normal 5 4 3" xfId="871" xr:uid="{00000000-0005-0000-0000-0000E7020000}"/>
    <cellStyle name="Normal 5 4 4" xfId="500" xr:uid="{00000000-0005-0000-0000-0000E8020000}"/>
    <cellStyle name="Normal 5 5" xfId="501" xr:uid="{00000000-0005-0000-0000-0000E9020000}"/>
    <cellStyle name="Normal 5 5 2" xfId="799" xr:uid="{00000000-0005-0000-0000-0000EA020000}"/>
    <cellStyle name="Normal 5 6" xfId="502" xr:uid="{00000000-0005-0000-0000-0000EB020000}"/>
    <cellStyle name="Normal 5 6 2" xfId="800" xr:uid="{00000000-0005-0000-0000-0000EC020000}"/>
    <cellStyle name="Normal 5 7" xfId="503" xr:uid="{00000000-0005-0000-0000-0000ED020000}"/>
    <cellStyle name="Normal 5 7 2" xfId="801" xr:uid="{00000000-0005-0000-0000-0000EE020000}"/>
    <cellStyle name="Normal 5 8" xfId="504" xr:uid="{00000000-0005-0000-0000-0000EF020000}"/>
    <cellStyle name="Normal 5 8 2" xfId="802" xr:uid="{00000000-0005-0000-0000-0000F0020000}"/>
    <cellStyle name="Normal 5 9" xfId="505" xr:uid="{00000000-0005-0000-0000-0000F1020000}"/>
    <cellStyle name="Normal 5_2014-2015 summary" xfId="279" xr:uid="{00000000-0005-0000-0000-0000F2020000}"/>
    <cellStyle name="Normal 5_April" xfId="87" xr:uid="{00000000-0005-0000-0000-0000F3020000}"/>
    <cellStyle name="Normal 53 2" xfId="86" xr:uid="{00000000-0005-0000-0000-0000F4020000}"/>
    <cellStyle name="Normal 6" xfId="71" xr:uid="{00000000-0005-0000-0000-0000F5020000}"/>
    <cellStyle name="Normal 6 10" xfId="610" xr:uid="{00000000-0005-0000-0000-0000F6020000}"/>
    <cellStyle name="Normal 6 11" xfId="705" xr:uid="{00000000-0005-0000-0000-0000F7020000}"/>
    <cellStyle name="Normal 6 12" xfId="853" xr:uid="{00000000-0005-0000-0000-0000F8020000}"/>
    <cellStyle name="Normal 6 13" xfId="506" xr:uid="{00000000-0005-0000-0000-0000F9020000}"/>
    <cellStyle name="Normal 6 2" xfId="284" xr:uid="{00000000-0005-0000-0000-0000FA020000}"/>
    <cellStyle name="Normal 6 2 2" xfId="508" xr:uid="{00000000-0005-0000-0000-0000FB020000}"/>
    <cellStyle name="Normal 6 2 2 2" xfId="803" xr:uid="{00000000-0005-0000-0000-0000FC020000}"/>
    <cellStyle name="Normal 6 2 3" xfId="509" xr:uid="{00000000-0005-0000-0000-0000FD020000}"/>
    <cellStyle name="Normal 6 2 3 2" xfId="804" xr:uid="{00000000-0005-0000-0000-0000FE020000}"/>
    <cellStyle name="Normal 6 2 4" xfId="594" xr:uid="{00000000-0005-0000-0000-0000FF020000}"/>
    <cellStyle name="Normal 6 2 4 2" xfId="805" xr:uid="{00000000-0005-0000-0000-000000030000}"/>
    <cellStyle name="Normal 6 2 5" xfId="806" xr:uid="{00000000-0005-0000-0000-000001030000}"/>
    <cellStyle name="Normal 6 2 6" xfId="892" xr:uid="{00000000-0005-0000-0000-000002030000}"/>
    <cellStyle name="Normal 6 2 7" xfId="507" xr:uid="{00000000-0005-0000-0000-000003030000}"/>
    <cellStyle name="Normal 6 2_LOOKUP DATA" xfId="510" xr:uid="{00000000-0005-0000-0000-000004030000}"/>
    <cellStyle name="Normal 6 3" xfId="285" xr:uid="{00000000-0005-0000-0000-000005030000}"/>
    <cellStyle name="Normal 6 3 2" xfId="807" xr:uid="{00000000-0005-0000-0000-000006030000}"/>
    <cellStyle name="Normal 6 3 3" xfId="893" xr:uid="{00000000-0005-0000-0000-000007030000}"/>
    <cellStyle name="Normal 6 3 4" xfId="511" xr:uid="{00000000-0005-0000-0000-000008030000}"/>
    <cellStyle name="Normal 6 4" xfId="283" xr:uid="{00000000-0005-0000-0000-000009030000}"/>
    <cellStyle name="Normal 6 4 2" xfId="808" xr:uid="{00000000-0005-0000-0000-00000A030000}"/>
    <cellStyle name="Normal 6 4 3" xfId="891" xr:uid="{00000000-0005-0000-0000-00000B030000}"/>
    <cellStyle name="Normal 6 4 4" xfId="512" xr:uid="{00000000-0005-0000-0000-00000C030000}"/>
    <cellStyle name="Normal 6 5" xfId="513" xr:uid="{00000000-0005-0000-0000-00000D030000}"/>
    <cellStyle name="Normal 6 5 2" xfId="809" xr:uid="{00000000-0005-0000-0000-00000E030000}"/>
    <cellStyle name="Normal 6 6" xfId="514" xr:uid="{00000000-0005-0000-0000-00000F030000}"/>
    <cellStyle name="Normal 6 6 2" xfId="810" xr:uid="{00000000-0005-0000-0000-000010030000}"/>
    <cellStyle name="Normal 6 7" xfId="515" xr:uid="{00000000-0005-0000-0000-000011030000}"/>
    <cellStyle name="Normal 6 7 2" xfId="811" xr:uid="{00000000-0005-0000-0000-000012030000}"/>
    <cellStyle name="Normal 6 8" xfId="516" xr:uid="{00000000-0005-0000-0000-000013030000}"/>
    <cellStyle name="Normal 6 9" xfId="517" xr:uid="{00000000-0005-0000-0000-000014030000}"/>
    <cellStyle name="Normal 6_LOOKUP DATA" xfId="518" xr:uid="{00000000-0005-0000-0000-000015030000}"/>
    <cellStyle name="Normal 7" xfId="81" xr:uid="{00000000-0005-0000-0000-000016030000}"/>
    <cellStyle name="Normal 7 10" xfId="706" xr:uid="{00000000-0005-0000-0000-000017030000}"/>
    <cellStyle name="Normal 7 2" xfId="287" xr:uid="{00000000-0005-0000-0000-000018030000}"/>
    <cellStyle name="Normal 7 2 2" xfId="520" xr:uid="{00000000-0005-0000-0000-000019030000}"/>
    <cellStyle name="Normal 7 2 2 2" xfId="812" xr:uid="{00000000-0005-0000-0000-00001A030000}"/>
    <cellStyle name="Normal 7 2 3" xfId="568" xr:uid="{00000000-0005-0000-0000-00001B030000}"/>
    <cellStyle name="Normal 7 2 3 2" xfId="813" xr:uid="{00000000-0005-0000-0000-00001C030000}"/>
    <cellStyle name="Normal 7 2 4" xfId="595" xr:uid="{00000000-0005-0000-0000-00001D030000}"/>
    <cellStyle name="Normal 7 2 5" xfId="895" xr:uid="{00000000-0005-0000-0000-00001E030000}"/>
    <cellStyle name="Normal 7 2 6" xfId="519" xr:uid="{00000000-0005-0000-0000-00001F030000}"/>
    <cellStyle name="Normal 7 2_LOOKUP DATA" xfId="625" xr:uid="{00000000-0005-0000-0000-000020030000}"/>
    <cellStyle name="Normal 7 3" xfId="288" xr:uid="{00000000-0005-0000-0000-000021030000}"/>
    <cellStyle name="Normal 7 3 2" xfId="814" xr:uid="{00000000-0005-0000-0000-000022030000}"/>
    <cellStyle name="Normal 7 3 3" xfId="896" xr:uid="{00000000-0005-0000-0000-000023030000}"/>
    <cellStyle name="Normal 7 3 4" xfId="521" xr:uid="{00000000-0005-0000-0000-000024030000}"/>
    <cellStyle name="Normal 7 4" xfId="286" xr:uid="{00000000-0005-0000-0000-000025030000}"/>
    <cellStyle name="Normal 7 4 2" xfId="815" xr:uid="{00000000-0005-0000-0000-000026030000}"/>
    <cellStyle name="Normal 7 4 3" xfId="894" xr:uid="{00000000-0005-0000-0000-000027030000}"/>
    <cellStyle name="Normal 7 4 4" xfId="522" xr:uid="{00000000-0005-0000-0000-000028030000}"/>
    <cellStyle name="Normal 7 5" xfId="523" xr:uid="{00000000-0005-0000-0000-000029030000}"/>
    <cellStyle name="Normal 7 5 2" xfId="816" xr:uid="{00000000-0005-0000-0000-00002A030000}"/>
    <cellStyle name="Normal 7 6" xfId="524" xr:uid="{00000000-0005-0000-0000-00002B030000}"/>
    <cellStyle name="Normal 7 6 2" xfId="817" xr:uid="{00000000-0005-0000-0000-00002C030000}"/>
    <cellStyle name="Normal 7 7" xfId="596" xr:uid="{00000000-0005-0000-0000-00002D030000}"/>
    <cellStyle name="Normal 7 7 2" xfId="818" xr:uid="{00000000-0005-0000-0000-00002E030000}"/>
    <cellStyle name="Normal 7 8" xfId="707" xr:uid="{00000000-0005-0000-0000-00002F030000}"/>
    <cellStyle name="Normal 7 9" xfId="708" xr:uid="{00000000-0005-0000-0000-000030030000}"/>
    <cellStyle name="Normal 7_LOOKUP DATA" xfId="525" xr:uid="{00000000-0005-0000-0000-000031030000}"/>
    <cellStyle name="Normal 76" xfId="98" xr:uid="{00000000-0005-0000-0000-000032030000}"/>
    <cellStyle name="Normal 8" xfId="77" xr:uid="{00000000-0005-0000-0000-000033030000}"/>
    <cellStyle name="Normal 8 10" xfId="844" xr:uid="{00000000-0005-0000-0000-000034030000}"/>
    <cellStyle name="Normal 8 11" xfId="526" xr:uid="{00000000-0005-0000-0000-000035030000}"/>
    <cellStyle name="Normal 8 2" xfId="290" xr:uid="{00000000-0005-0000-0000-000036030000}"/>
    <cellStyle name="Normal 8 2 2" xfId="528" xr:uid="{00000000-0005-0000-0000-000037030000}"/>
    <cellStyle name="Normal 8 2 2 2" xfId="819" xr:uid="{00000000-0005-0000-0000-000038030000}"/>
    <cellStyle name="Normal 8 2 3" xfId="569" xr:uid="{00000000-0005-0000-0000-000039030000}"/>
    <cellStyle name="Normal 8 2 3 2" xfId="820" xr:uid="{00000000-0005-0000-0000-00003A030000}"/>
    <cellStyle name="Normal 8 2 4" xfId="597" xr:uid="{00000000-0005-0000-0000-00003B030000}"/>
    <cellStyle name="Normal 8 2 5" xfId="898" xr:uid="{00000000-0005-0000-0000-00003C030000}"/>
    <cellStyle name="Normal 8 2 6" xfId="527" xr:uid="{00000000-0005-0000-0000-00003D030000}"/>
    <cellStyle name="Normal 8 2_LOOKUP DATA" xfId="626" xr:uid="{00000000-0005-0000-0000-00003E030000}"/>
    <cellStyle name="Normal 8 3" xfId="291" xr:uid="{00000000-0005-0000-0000-00003F030000}"/>
    <cellStyle name="Normal 8 3 2" xfId="821" xr:uid="{00000000-0005-0000-0000-000040030000}"/>
    <cellStyle name="Normal 8 3 3" xfId="899" xr:uid="{00000000-0005-0000-0000-000041030000}"/>
    <cellStyle name="Normal 8 3 4" xfId="529" xr:uid="{00000000-0005-0000-0000-000042030000}"/>
    <cellStyle name="Normal 8 4" xfId="289" xr:uid="{00000000-0005-0000-0000-000043030000}"/>
    <cellStyle name="Normal 8 4 2" xfId="822" xr:uid="{00000000-0005-0000-0000-000044030000}"/>
    <cellStyle name="Normal 8 4 3" xfId="897" xr:uid="{00000000-0005-0000-0000-000045030000}"/>
    <cellStyle name="Normal 8 4 4" xfId="530" xr:uid="{00000000-0005-0000-0000-000046030000}"/>
    <cellStyle name="Normal 8 5" xfId="531" xr:uid="{00000000-0005-0000-0000-000047030000}"/>
    <cellStyle name="Normal 8 5 2" xfId="823" xr:uid="{00000000-0005-0000-0000-000048030000}"/>
    <cellStyle name="Normal 8 6" xfId="598" xr:uid="{00000000-0005-0000-0000-000049030000}"/>
    <cellStyle name="Normal 8 6 2" xfId="824" xr:uid="{00000000-0005-0000-0000-00004A030000}"/>
    <cellStyle name="Normal 8 7" xfId="709" xr:uid="{00000000-0005-0000-0000-00004B030000}"/>
    <cellStyle name="Normal 8 7 2" xfId="825" xr:uid="{00000000-0005-0000-0000-00004C030000}"/>
    <cellStyle name="Normal 8 8" xfId="710" xr:uid="{00000000-0005-0000-0000-00004D030000}"/>
    <cellStyle name="Normal 8 9" xfId="711" xr:uid="{00000000-0005-0000-0000-00004E030000}"/>
    <cellStyle name="Normal 8_LOOKUP DATA" xfId="532" xr:uid="{00000000-0005-0000-0000-00004F030000}"/>
    <cellStyle name="Normal 9" xfId="292" xr:uid="{00000000-0005-0000-0000-000050030000}"/>
    <cellStyle name="Normal 9 10" xfId="900" xr:uid="{00000000-0005-0000-0000-000051030000}"/>
    <cellStyle name="Normal 9 11" xfId="533" xr:uid="{00000000-0005-0000-0000-000052030000}"/>
    <cellStyle name="Normal 9 2" xfId="293" xr:uid="{00000000-0005-0000-0000-000053030000}"/>
    <cellStyle name="Normal 9 2 2" xfId="535" xr:uid="{00000000-0005-0000-0000-000054030000}"/>
    <cellStyle name="Normal 9 2 2 2" xfId="826" xr:uid="{00000000-0005-0000-0000-000055030000}"/>
    <cellStyle name="Normal 9 2 3" xfId="570" xr:uid="{00000000-0005-0000-0000-000056030000}"/>
    <cellStyle name="Normal 9 2 3 2" xfId="827" xr:uid="{00000000-0005-0000-0000-000057030000}"/>
    <cellStyle name="Normal 9 2 4" xfId="599" xr:uid="{00000000-0005-0000-0000-000058030000}"/>
    <cellStyle name="Normal 9 2 5" xfId="901" xr:uid="{00000000-0005-0000-0000-000059030000}"/>
    <cellStyle name="Normal 9 2 6" xfId="534" xr:uid="{00000000-0005-0000-0000-00005A030000}"/>
    <cellStyle name="Normal 9 2_LOOKUP DATA" xfId="627" xr:uid="{00000000-0005-0000-0000-00005B030000}"/>
    <cellStyle name="Normal 9 3" xfId="294" xr:uid="{00000000-0005-0000-0000-00005C030000}"/>
    <cellStyle name="Normal 9 3 2" xfId="828" xr:uid="{00000000-0005-0000-0000-00005D030000}"/>
    <cellStyle name="Normal 9 3 3" xfId="902" xr:uid="{00000000-0005-0000-0000-00005E030000}"/>
    <cellStyle name="Normal 9 3 4" xfId="536" xr:uid="{00000000-0005-0000-0000-00005F030000}"/>
    <cellStyle name="Normal 9 4" xfId="537" xr:uid="{00000000-0005-0000-0000-000060030000}"/>
    <cellStyle name="Normal 9 4 2" xfId="829" xr:uid="{00000000-0005-0000-0000-000061030000}"/>
    <cellStyle name="Normal 9 5" xfId="538" xr:uid="{00000000-0005-0000-0000-000062030000}"/>
    <cellStyle name="Normal 9 5 2" xfId="830" xr:uid="{00000000-0005-0000-0000-000063030000}"/>
    <cellStyle name="Normal 9 6" xfId="600" xr:uid="{00000000-0005-0000-0000-000064030000}"/>
    <cellStyle name="Normal 9 6 2" xfId="831" xr:uid="{00000000-0005-0000-0000-000065030000}"/>
    <cellStyle name="Normal 9 7" xfId="712" xr:uid="{00000000-0005-0000-0000-000066030000}"/>
    <cellStyle name="Normal 9 7 2" xfId="832" xr:uid="{00000000-0005-0000-0000-000067030000}"/>
    <cellStyle name="Normal 9 8" xfId="713" xr:uid="{00000000-0005-0000-0000-000068030000}"/>
    <cellStyle name="Normal 9 9" xfId="714" xr:uid="{00000000-0005-0000-0000-000069030000}"/>
    <cellStyle name="Normal 9_LOOKUP DATA" xfId="539" xr:uid="{00000000-0005-0000-0000-00006A030000}"/>
    <cellStyle name="Normal_16 May 2018" xfId="918" xr:uid="{53F3FEDF-8E39-42DF-B3EF-8A7EE3D0CCA4}"/>
    <cellStyle name="Normal_Report 1" xfId="912" xr:uid="{00000000-0005-0000-0000-00006B030000}"/>
    <cellStyle name="Normal_RP 151018" xfId="916" xr:uid="{9E55EEB5-E256-4CE7-8405-0B9453E65046}"/>
    <cellStyle name="Note 2" xfId="72" xr:uid="{00000000-0005-0000-0000-00006D030000}"/>
    <cellStyle name="Note 2 2" xfId="296" xr:uid="{00000000-0005-0000-0000-00006E030000}"/>
    <cellStyle name="Note 2 3" xfId="297" xr:uid="{00000000-0005-0000-0000-00006F030000}"/>
    <cellStyle name="Note 2 4" xfId="298" xr:uid="{00000000-0005-0000-0000-000070030000}"/>
    <cellStyle name="Note 2 4 2" xfId="299" xr:uid="{00000000-0005-0000-0000-000071030000}"/>
    <cellStyle name="Note 2 5" xfId="300" xr:uid="{00000000-0005-0000-0000-000072030000}"/>
    <cellStyle name="Note 2 6" xfId="301" xr:uid="{00000000-0005-0000-0000-000073030000}"/>
    <cellStyle name="Note 2 7" xfId="302" xr:uid="{00000000-0005-0000-0000-000074030000}"/>
    <cellStyle name="Note 2 8" xfId="295" xr:uid="{00000000-0005-0000-0000-000075030000}"/>
    <cellStyle name="Note 3" xfId="303" xr:uid="{00000000-0005-0000-0000-000076030000}"/>
    <cellStyle name="Note 3 2" xfId="304" xr:uid="{00000000-0005-0000-0000-000077030000}"/>
    <cellStyle name="Note 3 3" xfId="305" xr:uid="{00000000-0005-0000-0000-000078030000}"/>
    <cellStyle name="Number" xfId="306" xr:uid="{00000000-0005-0000-0000-000079030000}"/>
    <cellStyle name="Output 2" xfId="73" xr:uid="{00000000-0005-0000-0000-00007A030000}"/>
    <cellStyle name="Output 2 2" xfId="307" xr:uid="{00000000-0005-0000-0000-00007B030000}"/>
    <cellStyle name="Output 3" xfId="308" xr:uid="{00000000-0005-0000-0000-00007C030000}"/>
    <cellStyle name="Percent" xfId="911" builtinId="5"/>
    <cellStyle name="Percent 2" xfId="309" xr:uid="{00000000-0005-0000-0000-00007E030000}"/>
    <cellStyle name="Percent 2 2" xfId="310" xr:uid="{00000000-0005-0000-0000-00007F030000}"/>
    <cellStyle name="Percent 2 2 2" xfId="311" xr:uid="{00000000-0005-0000-0000-000080030000}"/>
    <cellStyle name="Percent 2 2 3" xfId="312" xr:uid="{00000000-0005-0000-0000-000081030000}"/>
    <cellStyle name="Percent 2 3" xfId="313" xr:uid="{00000000-0005-0000-0000-000082030000}"/>
    <cellStyle name="Percent 2 4" xfId="314" xr:uid="{00000000-0005-0000-0000-000083030000}"/>
    <cellStyle name="Percent 2 4 2" xfId="315" xr:uid="{00000000-0005-0000-0000-000084030000}"/>
    <cellStyle name="Percent 3" xfId="316" xr:uid="{00000000-0005-0000-0000-000085030000}"/>
    <cellStyle name="provisional PN158/97" xfId="317" xr:uid="{00000000-0005-0000-0000-000086030000}"/>
    <cellStyle name="sub" xfId="318" xr:uid="{00000000-0005-0000-0000-000087030000}"/>
    <cellStyle name="table imported" xfId="319" xr:uid="{00000000-0005-0000-0000-000088030000}"/>
    <cellStyle name="table sum" xfId="320" xr:uid="{00000000-0005-0000-0000-000089030000}"/>
    <cellStyle name="table values" xfId="321" xr:uid="{00000000-0005-0000-0000-00008A030000}"/>
    <cellStyle name="Title 2" xfId="74" xr:uid="{00000000-0005-0000-0000-00008B030000}"/>
    <cellStyle name="Title 2 2" xfId="322" xr:uid="{00000000-0005-0000-0000-00008C030000}"/>
    <cellStyle name="Title 3" xfId="323" xr:uid="{00000000-0005-0000-0000-00008D030000}"/>
    <cellStyle name="Total 2" xfId="75" xr:uid="{00000000-0005-0000-0000-00008E030000}"/>
    <cellStyle name="Total 2 2" xfId="324" xr:uid="{00000000-0005-0000-0000-00008F030000}"/>
    <cellStyle name="Total 3" xfId="325" xr:uid="{00000000-0005-0000-0000-000090030000}"/>
    <cellStyle name="u5shares" xfId="326" xr:uid="{00000000-0005-0000-0000-000091030000}"/>
    <cellStyle name="Variable assumptions" xfId="327" xr:uid="{00000000-0005-0000-0000-000092030000}"/>
    <cellStyle name="Warning Text 2" xfId="76" xr:uid="{00000000-0005-0000-0000-000093030000}"/>
    <cellStyle name="Warning Text 2 2" xfId="328" xr:uid="{00000000-0005-0000-0000-000094030000}"/>
    <cellStyle name="Warning Text 3" xfId="329" xr:uid="{00000000-0005-0000-0000-000095030000}"/>
  </cellStyles>
  <dxfs count="70">
    <dxf>
      <font>
        <color rgb="FF9C0006"/>
      </font>
      <fill>
        <patternFill>
          <bgColor rgb="FFFFC7CE"/>
        </patternFill>
      </fill>
    </dxf>
    <dxf>
      <font>
        <color auto="1"/>
      </font>
      <fill>
        <patternFill>
          <bgColor theme="5" tint="0.3999450666829432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ont>
        <color rgb="FF9C0006"/>
      </font>
      <fill>
        <patternFill>
          <bgColor rgb="FFFFC7CE"/>
        </patternFill>
      </fill>
    </dxf>
    <dxf>
      <font>
        <color rgb="FF9C0006"/>
      </font>
      <fill>
        <patternFill>
          <bgColor rgb="FFFFC7CE"/>
        </patternFill>
      </fill>
    </dxf>
    <dxf>
      <fill>
        <patternFill patternType="none">
          <bgColor auto="1"/>
        </patternFill>
      </fill>
    </dxf>
    <dxf>
      <alignment horizontal="center" readingOrder="0"/>
    </dxf>
    <dxf>
      <numFmt numFmtId="2" formatCode="0.00"/>
    </dxf>
    <dxf>
      <numFmt numFmtId="2" formatCode="0.00"/>
    </dxf>
    <dxf>
      <numFmt numFmtId="2" formatCode="0.00"/>
    </dxf>
    <dxf>
      <numFmt numFmtId="2" formatCode="0.00"/>
    </dxf>
    <dxf>
      <numFmt numFmtId="2" formatCode="0.00"/>
    </dxf>
    <dxf>
      <font>
        <b/>
      </font>
    </dxf>
    <dxf>
      <alignment horizontal="center" readingOrder="0"/>
    </dxf>
    <dxf>
      <alignment horizontal="center" readingOrder="0"/>
    </dxf>
    <dxf>
      <alignment horizontal="center" readingOrder="0"/>
    </dxf>
    <dxf>
      <alignment horizontal="center" readingOrder="0"/>
    </dxf>
    <dxf>
      <fill>
        <patternFill patternType="none">
          <bgColor auto="1"/>
        </patternFill>
      </fill>
    </dxf>
    <dxf>
      <alignment horizontal="center" readingOrder="0"/>
    </dxf>
    <dxf>
      <alignment horizontal="center" readingOrder="0"/>
    </dxf>
    <dxf>
      <alignment horizontal="center" readingOrder="0"/>
    </dxf>
    <dxf>
      <alignment horizontal="center" readingOrder="0"/>
    </dxf>
    <dxf>
      <alignment horizontal="center" readingOrder="0"/>
    </dxf>
    <dxf>
      <numFmt numFmtId="2" formatCode="0.00"/>
    </dxf>
    <dxf>
      <numFmt numFmtId="2" formatCode="0.00"/>
    </dxf>
    <dxf>
      <numFmt numFmtId="2" formatCode="0.00"/>
    </dxf>
    <dxf>
      <numFmt numFmtId="2" formatCode="0.00"/>
    </dxf>
    <dxf>
      <numFmt numFmtId="2" formatCode="0.00"/>
    </dxf>
    <dxf>
      <font>
        <b/>
      </font>
    </dxf>
    <dxf>
      <fill>
        <patternFill patternType="none">
          <bgColor auto="1"/>
        </patternFill>
      </fill>
    </dxf>
    <dxf>
      <alignment horizontal="center" readingOrder="0"/>
    </dxf>
    <dxf>
      <numFmt numFmtId="2" formatCode="0.00"/>
    </dxf>
    <dxf>
      <numFmt numFmtId="2" formatCode="0.00"/>
    </dxf>
    <dxf>
      <numFmt numFmtId="2" formatCode="0.00"/>
    </dxf>
    <dxf>
      <numFmt numFmtId="2" formatCode="0.00"/>
    </dxf>
    <dxf>
      <numFmt numFmtId="2" formatCode="0.00"/>
    </dxf>
    <dxf>
      <font>
        <b/>
      </font>
    </dxf>
    <dxf>
      <alignment horizontal="center" readingOrder="0"/>
    </dxf>
    <dxf>
      <alignment horizontal="center" readingOrder="0"/>
    </dxf>
    <dxf>
      <alignment horizontal="center" readingOrder="0"/>
    </dxf>
    <dxf>
      <alignment horizontal="center" readingOrder="0"/>
    </dxf>
    <dxf>
      <fill>
        <patternFill patternType="none">
          <bgColor auto="1"/>
        </patternFill>
      </fill>
    </dxf>
    <dxf>
      <alignment horizontal="center" readingOrder="0"/>
    </dxf>
    <dxf>
      <alignment horizontal="center" readingOrder="0"/>
    </dxf>
    <dxf>
      <alignment horizontal="center" readingOrder="0"/>
    </dxf>
    <dxf>
      <alignment horizontal="center" readingOrder="0"/>
    </dxf>
    <dxf>
      <alignment horizontal="center" readingOrder="0"/>
    </dxf>
    <dxf>
      <numFmt numFmtId="2" formatCode="0.00"/>
    </dxf>
    <dxf>
      <numFmt numFmtId="2" formatCode="0.00"/>
    </dxf>
    <dxf>
      <numFmt numFmtId="2" formatCode="0.00"/>
    </dxf>
    <dxf>
      <numFmt numFmtId="2" formatCode="0.00"/>
    </dxf>
    <dxf>
      <numFmt numFmtId="2" formatCode="0.00"/>
    </dxf>
    <dxf>
      <font>
        <b/>
      </font>
    </dxf>
    <dxf>
      <font>
        <b/>
        <i val="0"/>
        <color rgb="FF000080"/>
      </font>
      <fill>
        <patternFill>
          <bgColor rgb="FF99CCFF"/>
        </patternFill>
      </fill>
    </dxf>
    <dxf>
      <border>
        <left style="hair">
          <color theme="0" tint="-0.24994659260841701"/>
        </left>
        <right style="hair">
          <color theme="0" tint="-0.24994659260841701"/>
        </right>
        <top style="hair">
          <color theme="0" tint="-0.24994659260841701"/>
        </top>
        <bottom style="hair">
          <color theme="0" tint="-0.24994659260841701"/>
        </bottom>
        <vertical style="hair">
          <color theme="0" tint="-0.24994659260841701"/>
        </vertical>
        <horizontal style="hair">
          <color theme="0" tint="-0.24994659260841701"/>
        </horizontal>
      </border>
    </dxf>
    <dxf>
      <fill>
        <patternFill patternType="none">
          <bgColor auto="1"/>
        </patternFill>
      </fill>
      <border>
        <right style="medium">
          <color auto="1"/>
        </right>
      </border>
    </dxf>
    <dxf>
      <border>
        <left style="medium">
          <color auto="1"/>
        </left>
      </border>
    </dxf>
    <dxf>
      <font>
        <b/>
        <i val="0"/>
        <color rgb="FF000080"/>
      </font>
      <fill>
        <patternFill>
          <bgColor rgb="FF99CCFF"/>
        </patternFill>
      </fill>
    </dxf>
    <dxf>
      <fill>
        <patternFill patternType="none">
          <bgColor auto="1"/>
        </patternFill>
      </fill>
      <border>
        <left style="hair">
          <color theme="0" tint="-0.24994659260841701"/>
        </left>
        <right style="hair">
          <color theme="0" tint="-0.24994659260841701"/>
        </right>
        <top style="hair">
          <color theme="0" tint="-0.24994659260841701"/>
        </top>
        <bottom style="hair">
          <color theme="0" tint="-0.24994659260841701"/>
        </bottom>
        <vertical style="hair">
          <color theme="0" tint="-0.24994659260841701"/>
        </vertical>
        <horizontal style="hair">
          <color theme="0" tint="-0.24994659260841701"/>
        </horizontal>
      </border>
    </dxf>
  </dxfs>
  <tableStyles count="3" defaultTableStyle="TableStyleMedium2" defaultPivotStyle="PivotStyleLight16">
    <tableStyle name="HCC NOR" table="0" count="0" xr9:uid="{C05F987F-01B7-44DC-9844-2511D208FEDB}"/>
    <tableStyle name="Kevin" pivot="0" count="4" xr9:uid="{00000000-0011-0000-FFFF-FFFF00000000}">
      <tableStyleElement type="wholeTable" dxfId="69"/>
      <tableStyleElement type="headerRow" dxfId="68"/>
      <tableStyleElement type="firstColumn" dxfId="67"/>
      <tableStyleElement type="lastColumn" dxfId="66"/>
    </tableStyle>
    <tableStyle name="KevinPT" table="0" count="2" xr9:uid="{00000000-0011-0000-FFFF-FFFF01000000}">
      <tableStyleElement type="wholeTable" dxfId="65"/>
      <tableStyleElement type="headerRow" dxfId="64"/>
    </tableStyle>
  </tableStyles>
  <colors>
    <mruColors>
      <color rgb="FFFFCCFF"/>
      <color rgb="FFFF66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317255</xdr:colOff>
      <xdr:row>21</xdr:row>
      <xdr:rowOff>46160</xdr:rowOff>
    </xdr:from>
    <xdr:to>
      <xdr:col>9</xdr:col>
      <xdr:colOff>85030</xdr:colOff>
      <xdr:row>87</xdr:row>
      <xdr:rowOff>114599</xdr:rowOff>
    </xdr:to>
    <xdr:pic>
      <xdr:nvPicPr>
        <xdr:cNvPr id="2" name="Picture 1">
          <a:extLst>
            <a:ext uri="{FF2B5EF4-FFF2-40B4-BE49-F238E27FC236}">
              <a16:creationId xmlns:a16="http://schemas.microsoft.com/office/drawing/2014/main" id="{4D604DCB-EB09-425D-8B73-0347D85A09D7}"/>
            </a:ext>
          </a:extLst>
        </xdr:cNvPr>
        <xdr:cNvPicPr>
          <a:picLocks noChangeAspect="1"/>
        </xdr:cNvPicPr>
      </xdr:nvPicPr>
      <xdr:blipFill>
        <a:blip xmlns:r="http://schemas.openxmlformats.org/officeDocument/2006/relationships" r:embed="rId1"/>
        <a:stretch>
          <a:fillRect/>
        </a:stretch>
      </xdr:blipFill>
      <xdr:spPr>
        <a:xfrm>
          <a:off x="500428" y="5380160"/>
          <a:ext cx="5512083" cy="12641439"/>
        </a:xfrm>
        <a:prstGeom prst="rect">
          <a:avLst/>
        </a:prstGeom>
      </xdr:spPr>
    </xdr:pic>
    <xdr:clientData/>
  </xdr:twoCellAnchor>
  <xdr:twoCellAnchor>
    <xdr:from>
      <xdr:col>3</xdr:col>
      <xdr:colOff>295275</xdr:colOff>
      <xdr:row>8</xdr:row>
      <xdr:rowOff>95250</xdr:rowOff>
    </xdr:from>
    <xdr:to>
      <xdr:col>6</xdr:col>
      <xdr:colOff>76200</xdr:colOff>
      <xdr:row>14</xdr:row>
      <xdr:rowOff>76200</xdr:rowOff>
    </xdr:to>
    <xdr:sp macro="" textlink="">
      <xdr:nvSpPr>
        <xdr:cNvPr id="3" name="TextBox 2">
          <a:extLst>
            <a:ext uri="{FF2B5EF4-FFF2-40B4-BE49-F238E27FC236}">
              <a16:creationId xmlns:a16="http://schemas.microsoft.com/office/drawing/2014/main" id="{34611DEE-B011-980D-7819-2C53D1387D2A}"/>
            </a:ext>
          </a:extLst>
        </xdr:cNvPr>
        <xdr:cNvSpPr txBox="1"/>
      </xdr:nvSpPr>
      <xdr:spPr>
        <a:xfrm>
          <a:off x="1905000" y="2952750"/>
          <a:ext cx="1924050" cy="1123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Note that</a:t>
          </a:r>
          <a:r>
            <a:rPr lang="en-GB" sz="1100" baseline="0"/>
            <a:t> SIGNERS and TACTILE pupil numbers are excluded from the total numbers of pupils as they will already be included in the numbers of HI or VI pupils.</a:t>
          </a:r>
          <a:endParaRPr lang="en-GB" sz="1100"/>
        </a:p>
      </xdr:txBody>
    </xdr:sp>
    <xdr:clientData/>
  </xdr:twoCellAnchor>
  <xdr:twoCellAnchor>
    <xdr:from>
      <xdr:col>4</xdr:col>
      <xdr:colOff>466725</xdr:colOff>
      <xdr:row>7</xdr:row>
      <xdr:rowOff>85725</xdr:rowOff>
    </xdr:from>
    <xdr:to>
      <xdr:col>4</xdr:col>
      <xdr:colOff>552450</xdr:colOff>
      <xdr:row>8</xdr:row>
      <xdr:rowOff>66675</xdr:rowOff>
    </xdr:to>
    <xdr:sp macro="" textlink="">
      <xdr:nvSpPr>
        <xdr:cNvPr id="4" name="Arrow: Up 3">
          <a:extLst>
            <a:ext uri="{FF2B5EF4-FFF2-40B4-BE49-F238E27FC236}">
              <a16:creationId xmlns:a16="http://schemas.microsoft.com/office/drawing/2014/main" id="{B546A0A3-7C89-3C39-A041-46322A448D02}"/>
            </a:ext>
          </a:extLst>
        </xdr:cNvPr>
        <xdr:cNvSpPr/>
      </xdr:nvSpPr>
      <xdr:spPr>
        <a:xfrm>
          <a:off x="2790825" y="2752725"/>
          <a:ext cx="85725" cy="17145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13</xdr:col>
      <xdr:colOff>608134</xdr:colOff>
      <xdr:row>0</xdr:row>
      <xdr:rowOff>0</xdr:rowOff>
    </xdr:from>
    <xdr:to>
      <xdr:col>23</xdr:col>
      <xdr:colOff>542193</xdr:colOff>
      <xdr:row>48</xdr:row>
      <xdr:rowOff>102576</xdr:rowOff>
    </xdr:to>
    <xdr:grpSp>
      <xdr:nvGrpSpPr>
        <xdr:cNvPr id="8" name="Group 7">
          <a:extLst>
            <a:ext uri="{FF2B5EF4-FFF2-40B4-BE49-F238E27FC236}">
              <a16:creationId xmlns:a16="http://schemas.microsoft.com/office/drawing/2014/main" id="{1D19B9F4-1CB7-F95D-3C9F-42E32CADB032}"/>
            </a:ext>
          </a:extLst>
        </xdr:cNvPr>
        <xdr:cNvGrpSpPr/>
      </xdr:nvGrpSpPr>
      <xdr:grpSpPr>
        <a:xfrm>
          <a:off x="9047284" y="0"/>
          <a:ext cx="6030059" cy="10580076"/>
          <a:chOff x="9796096" y="1"/>
          <a:chExt cx="6015405" cy="10580076"/>
        </a:xfrm>
      </xdr:grpSpPr>
      <xdr:pic>
        <xdr:nvPicPr>
          <xdr:cNvPr id="6" name="Picture 5">
            <a:extLst>
              <a:ext uri="{FF2B5EF4-FFF2-40B4-BE49-F238E27FC236}">
                <a16:creationId xmlns:a16="http://schemas.microsoft.com/office/drawing/2014/main" id="{2FF6689E-B020-3445-0034-4CFD96C599AA}"/>
              </a:ext>
            </a:extLst>
          </xdr:cNvPr>
          <xdr:cNvPicPr>
            <a:picLocks noChangeAspect="1"/>
          </xdr:cNvPicPr>
        </xdr:nvPicPr>
        <xdr:blipFill>
          <a:blip xmlns:r="http://schemas.openxmlformats.org/officeDocument/2006/relationships" r:embed="rId2"/>
          <a:stretch>
            <a:fillRect/>
          </a:stretch>
        </xdr:blipFill>
        <xdr:spPr>
          <a:xfrm>
            <a:off x="9796097" y="1"/>
            <a:ext cx="6015404" cy="5721388"/>
          </a:xfrm>
          <a:prstGeom prst="rect">
            <a:avLst/>
          </a:prstGeom>
        </xdr:spPr>
      </xdr:pic>
      <xdr:pic>
        <xdr:nvPicPr>
          <xdr:cNvPr id="7" name="Picture 6">
            <a:extLst>
              <a:ext uri="{FF2B5EF4-FFF2-40B4-BE49-F238E27FC236}">
                <a16:creationId xmlns:a16="http://schemas.microsoft.com/office/drawing/2014/main" id="{D3F6ED2A-9151-9264-7BB2-18F87336BA37}"/>
              </a:ext>
            </a:extLst>
          </xdr:cNvPr>
          <xdr:cNvPicPr>
            <a:picLocks noChangeAspect="1"/>
          </xdr:cNvPicPr>
        </xdr:nvPicPr>
        <xdr:blipFill>
          <a:blip xmlns:r="http://schemas.openxmlformats.org/officeDocument/2006/relationships" r:embed="rId3"/>
          <a:stretch>
            <a:fillRect/>
          </a:stretch>
        </xdr:blipFill>
        <xdr:spPr>
          <a:xfrm>
            <a:off x="9796096" y="5715000"/>
            <a:ext cx="5802457" cy="4865077"/>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31</xdr:col>
      <xdr:colOff>273843</xdr:colOff>
      <xdr:row>2</xdr:row>
      <xdr:rowOff>79841</xdr:rowOff>
    </xdr:from>
    <xdr:to>
      <xdr:col>31</xdr:col>
      <xdr:colOff>597843</xdr:colOff>
      <xdr:row>4</xdr:row>
      <xdr:rowOff>33617</xdr:rowOff>
    </xdr:to>
    <xdr:sp macro="" textlink="">
      <xdr:nvSpPr>
        <xdr:cNvPr id="2" name="Arrow: Down 1">
          <a:extLst>
            <a:ext uri="{FF2B5EF4-FFF2-40B4-BE49-F238E27FC236}">
              <a16:creationId xmlns:a16="http://schemas.microsoft.com/office/drawing/2014/main" id="{2991547F-C36D-4CEB-AB33-EC2ED35E60BB}"/>
            </a:ext>
          </a:extLst>
        </xdr:cNvPr>
        <xdr:cNvSpPr/>
      </xdr:nvSpPr>
      <xdr:spPr>
        <a:xfrm>
          <a:off x="21371718" y="527516"/>
          <a:ext cx="324000" cy="1668276"/>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31</xdr:col>
      <xdr:colOff>273843</xdr:colOff>
      <xdr:row>2</xdr:row>
      <xdr:rowOff>79841</xdr:rowOff>
    </xdr:from>
    <xdr:to>
      <xdr:col>31</xdr:col>
      <xdr:colOff>597843</xdr:colOff>
      <xdr:row>4</xdr:row>
      <xdr:rowOff>33617</xdr:rowOff>
    </xdr:to>
    <xdr:sp macro="" textlink="">
      <xdr:nvSpPr>
        <xdr:cNvPr id="3" name="Arrow: Down 2">
          <a:extLst>
            <a:ext uri="{FF2B5EF4-FFF2-40B4-BE49-F238E27FC236}">
              <a16:creationId xmlns:a16="http://schemas.microsoft.com/office/drawing/2014/main" id="{C37D05C1-C86F-496E-91C5-441274C5B712}"/>
            </a:ext>
          </a:extLst>
        </xdr:cNvPr>
        <xdr:cNvSpPr/>
      </xdr:nvSpPr>
      <xdr:spPr>
        <a:xfrm>
          <a:off x="21371718" y="527516"/>
          <a:ext cx="324000" cy="1668276"/>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31</xdr:col>
      <xdr:colOff>273843</xdr:colOff>
      <xdr:row>2</xdr:row>
      <xdr:rowOff>79841</xdr:rowOff>
    </xdr:from>
    <xdr:to>
      <xdr:col>31</xdr:col>
      <xdr:colOff>597843</xdr:colOff>
      <xdr:row>4</xdr:row>
      <xdr:rowOff>33617</xdr:rowOff>
    </xdr:to>
    <xdr:sp macro="" textlink="">
      <xdr:nvSpPr>
        <xdr:cNvPr id="4" name="Arrow: Down 3">
          <a:extLst>
            <a:ext uri="{FF2B5EF4-FFF2-40B4-BE49-F238E27FC236}">
              <a16:creationId xmlns:a16="http://schemas.microsoft.com/office/drawing/2014/main" id="{6BEC5C27-D404-415A-ADF5-6541E146F15B}"/>
            </a:ext>
          </a:extLst>
        </xdr:cNvPr>
        <xdr:cNvSpPr/>
      </xdr:nvSpPr>
      <xdr:spPr>
        <a:xfrm>
          <a:off x="21371718" y="546566"/>
          <a:ext cx="324000" cy="1668276"/>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32</xdr:col>
      <xdr:colOff>0</xdr:colOff>
      <xdr:row>9</xdr:row>
      <xdr:rowOff>0</xdr:rowOff>
    </xdr:from>
    <xdr:to>
      <xdr:col>35</xdr:col>
      <xdr:colOff>160866</xdr:colOff>
      <xdr:row>9</xdr:row>
      <xdr:rowOff>658247</xdr:rowOff>
    </xdr:to>
    <xdr:pic>
      <xdr:nvPicPr>
        <xdr:cNvPr id="5" name="Picture 4">
          <a:extLst>
            <a:ext uri="{FF2B5EF4-FFF2-40B4-BE49-F238E27FC236}">
              <a16:creationId xmlns:a16="http://schemas.microsoft.com/office/drawing/2014/main" id="{A237E7ED-43F2-42D5-A32F-C8269A83DC00}"/>
            </a:ext>
          </a:extLst>
        </xdr:cNvPr>
        <xdr:cNvPicPr>
          <a:picLocks noChangeAspect="1"/>
        </xdr:cNvPicPr>
      </xdr:nvPicPr>
      <xdr:blipFill>
        <a:blip xmlns:r="http://schemas.openxmlformats.org/officeDocument/2006/relationships" r:embed="rId1"/>
        <a:stretch>
          <a:fillRect/>
        </a:stretch>
      </xdr:blipFill>
      <xdr:spPr>
        <a:xfrm>
          <a:off x="22107525" y="3152775"/>
          <a:ext cx="3885141" cy="658247"/>
        </a:xfrm>
        <a:prstGeom prst="rect">
          <a:avLst/>
        </a:prstGeom>
      </xdr:spPr>
    </xdr:pic>
    <xdr:clientData/>
  </xdr:twoCellAnchor>
  <xdr:twoCellAnchor>
    <xdr:from>
      <xdr:col>31</xdr:col>
      <xdr:colOff>273843</xdr:colOff>
      <xdr:row>2</xdr:row>
      <xdr:rowOff>79841</xdr:rowOff>
    </xdr:from>
    <xdr:to>
      <xdr:col>31</xdr:col>
      <xdr:colOff>597843</xdr:colOff>
      <xdr:row>4</xdr:row>
      <xdr:rowOff>33617</xdr:rowOff>
    </xdr:to>
    <xdr:sp macro="" textlink="">
      <xdr:nvSpPr>
        <xdr:cNvPr id="6" name="Arrow: Down 5">
          <a:extLst>
            <a:ext uri="{FF2B5EF4-FFF2-40B4-BE49-F238E27FC236}">
              <a16:creationId xmlns:a16="http://schemas.microsoft.com/office/drawing/2014/main" id="{F97C3F1D-88D2-4385-9D6C-D326E9580D24}"/>
            </a:ext>
          </a:extLst>
        </xdr:cNvPr>
        <xdr:cNvSpPr/>
      </xdr:nvSpPr>
      <xdr:spPr>
        <a:xfrm>
          <a:off x="21371718" y="546566"/>
          <a:ext cx="324000" cy="1668276"/>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30</xdr:col>
      <xdr:colOff>273843</xdr:colOff>
      <xdr:row>2</xdr:row>
      <xdr:rowOff>79841</xdr:rowOff>
    </xdr:from>
    <xdr:to>
      <xdr:col>30</xdr:col>
      <xdr:colOff>597843</xdr:colOff>
      <xdr:row>4</xdr:row>
      <xdr:rowOff>33617</xdr:rowOff>
    </xdr:to>
    <xdr:sp macro="" textlink="">
      <xdr:nvSpPr>
        <xdr:cNvPr id="7" name="Arrow: Down 6">
          <a:extLst>
            <a:ext uri="{FF2B5EF4-FFF2-40B4-BE49-F238E27FC236}">
              <a16:creationId xmlns:a16="http://schemas.microsoft.com/office/drawing/2014/main" id="{0A99874D-D681-474B-A8AC-EAAB7E893536}"/>
            </a:ext>
          </a:extLst>
        </xdr:cNvPr>
        <xdr:cNvSpPr/>
      </xdr:nvSpPr>
      <xdr:spPr>
        <a:xfrm>
          <a:off x="21371718" y="508466"/>
          <a:ext cx="324000" cy="1068201"/>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30</xdr:col>
      <xdr:colOff>273843</xdr:colOff>
      <xdr:row>2</xdr:row>
      <xdr:rowOff>79841</xdr:rowOff>
    </xdr:from>
    <xdr:to>
      <xdr:col>30</xdr:col>
      <xdr:colOff>597843</xdr:colOff>
      <xdr:row>4</xdr:row>
      <xdr:rowOff>33617</xdr:rowOff>
    </xdr:to>
    <xdr:sp macro="" textlink="">
      <xdr:nvSpPr>
        <xdr:cNvPr id="8" name="Arrow: Down 7">
          <a:extLst>
            <a:ext uri="{FF2B5EF4-FFF2-40B4-BE49-F238E27FC236}">
              <a16:creationId xmlns:a16="http://schemas.microsoft.com/office/drawing/2014/main" id="{03A74ADF-4BCA-4947-B4AE-6718B0CA1DD4}"/>
            </a:ext>
          </a:extLst>
        </xdr:cNvPr>
        <xdr:cNvSpPr/>
      </xdr:nvSpPr>
      <xdr:spPr>
        <a:xfrm>
          <a:off x="21371718" y="508466"/>
          <a:ext cx="324000" cy="1068201"/>
        </a:xfrm>
        <a:prstGeom prst="down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hants.sharepoint.com/sites/ChildrensOperationalFinance-EducationFundingTeam-confidential/Shared%20Documents/Education%20Funding%20Team%20-%20confidential/2023-24%20-%20Sch%20Fund%20-%20Budget%20Shares%20-%20Special%20Schools%20WORKING.xlsx" TargetMode="External"/><Relationship Id="rId1" Type="http://schemas.openxmlformats.org/officeDocument/2006/relationships/externalLinkPath" Target="https://hants.sharepoint.com/sites/ChildrensOperationalFinance-EducationFundingTeam-confidential/Shared%20Documents/Education%20Funding%20Team%20-%20confidential/2023-24%20-%20Sch%20Fund%20-%20Budget%20Shares%20-%20Special%20Schools%20WORK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int Macro"/>
      <sheetName val="Special School"/>
      <sheetName val="HN Add Funding Worked Example"/>
      <sheetName val="Auto MFG Calculator"/>
      <sheetName val="Manual MFG Calculator"/>
      <sheetName val="Data"/>
      <sheetName val="Budget Share"/>
      <sheetName val="Values"/>
      <sheetName val="APN"/>
      <sheetName val="Alt MFG"/>
      <sheetName val="Autumn term 2022"/>
      <sheetName val="Autumn term 2021"/>
      <sheetName val="2022-23 budget share"/>
      <sheetName val="2021-22 budget share"/>
    </sheetNames>
    <sheetDataSet>
      <sheetData sheetId="0"/>
      <sheetData sheetId="1">
        <row r="1">
          <cell r="J1">
            <v>0</v>
          </cell>
        </row>
        <row r="2">
          <cell r="I2">
            <v>8507000</v>
          </cell>
        </row>
      </sheetData>
      <sheetData sheetId="2"/>
      <sheetData sheetId="3"/>
      <sheetData sheetId="4"/>
      <sheetData sheetId="5"/>
      <sheetData sheetId="6"/>
      <sheetData sheetId="7">
        <row r="2">
          <cell r="C2">
            <v>10000</v>
          </cell>
          <cell r="D2">
            <v>10000</v>
          </cell>
          <cell r="E2">
            <v>10000</v>
          </cell>
        </row>
        <row r="3">
          <cell r="C3">
            <v>8000</v>
          </cell>
        </row>
        <row r="4">
          <cell r="C4">
            <v>7800</v>
          </cell>
        </row>
        <row r="5">
          <cell r="C5">
            <v>63200</v>
          </cell>
        </row>
        <row r="6">
          <cell r="C6">
            <v>22000</v>
          </cell>
        </row>
        <row r="7">
          <cell r="C7">
            <v>22000</v>
          </cell>
        </row>
        <row r="8">
          <cell r="C8">
            <v>38.65</v>
          </cell>
        </row>
        <row r="9">
          <cell r="C9">
            <v>180000</v>
          </cell>
          <cell r="D9">
            <v>180000</v>
          </cell>
          <cell r="E9">
            <v>180000</v>
          </cell>
        </row>
        <row r="10">
          <cell r="C10">
            <v>72000</v>
          </cell>
          <cell r="E10">
            <v>72000</v>
          </cell>
        </row>
        <row r="11">
          <cell r="C11">
            <v>477.03</v>
          </cell>
          <cell r="E11">
            <v>630.71</v>
          </cell>
        </row>
        <row r="12">
          <cell r="C12">
            <v>277.14</v>
          </cell>
          <cell r="E12">
            <v>304.11</v>
          </cell>
        </row>
        <row r="13">
          <cell r="C13">
            <v>741</v>
          </cell>
          <cell r="D13">
            <v>540</v>
          </cell>
          <cell r="E13">
            <v>384</v>
          </cell>
        </row>
        <row r="14">
          <cell r="C14">
            <v>3926</v>
          </cell>
          <cell r="D14">
            <v>3666</v>
          </cell>
          <cell r="E14">
            <v>3464</v>
          </cell>
        </row>
        <row r="15">
          <cell r="C15">
            <v>8938</v>
          </cell>
          <cell r="D15">
            <v>8584</v>
          </cell>
          <cell r="E15">
            <v>8309</v>
          </cell>
        </row>
        <row r="16">
          <cell r="C16">
            <v>12705</v>
          </cell>
          <cell r="D16">
            <v>12281</v>
          </cell>
          <cell r="E16">
            <v>11951</v>
          </cell>
        </row>
      </sheetData>
      <sheetData sheetId="8"/>
      <sheetData sheetId="9"/>
      <sheetData sheetId="10"/>
      <sheetData sheetId="11"/>
      <sheetData sheetId="12"/>
      <sheetData sheetId="13"/>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persons/person.xml><?xml version="1.0" encoding="utf-8"?>
<personList xmlns="http://schemas.microsoft.com/office/spreadsheetml/2018/threadedcomments" xmlns:x="http://schemas.openxmlformats.org/spreadsheetml/2006/main">
  <person displayName="Smith, Adam (Corporate Resources, Finance)" id="{4BB0A664-4384-48DB-BDB2-9C9657985CC6}" userId="ctfinad@hants.gov.uk" providerId="PeoplePicker"/>
  <person displayName="Poole, Janine" id="{CA0FF0D3-8D59-4778-AB1F-167896C937F7}" userId="pbrsfmjp@hants.gov.uk" providerId="PeoplePicker"/>
  <person displayName="Smith, Adam (Corporate Resources, Finance)" id="{7050B94A-BC7D-4311-9CBB-65FEC0B4230A}" userId="S::ctfinad@hants.gov.uk::db48f58d-9dd9-4308-abae-d94127520ff5" providerId="AD"/>
  <person displayName="Jones, Aimee" id="{1701D80D-8F0D-43E9-8848-5D96B14BE73F}" userId="S::hribcam@hants.gov.uk::c472eb10-637f-4e98-9578-653198741309"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llart, Aimee" refreshedDate="46035.404612847226" createdVersion="8" refreshedVersion="8" minRefreshableVersion="3" recordCount="736" xr:uid="{E85AA2C5-C483-4C09-924E-5CA2C36BD7FC}">
  <cacheSource type="worksheet">
    <worksheetSource ref="A3:R739" sheet="Autumn term 2025"/>
  </cacheSource>
  <cacheFields count="18">
    <cacheField name="DFE No" numFmtId="0">
      <sharedItems containsSemiMixedTypes="0" containsString="0" containsNumber="1" containsInteger="1" minValue="2005" maxValue="5416" count="52">
        <n v="2005"/>
        <n v="2011"/>
        <n v="2013"/>
        <n v="2018"/>
        <n v="2339"/>
        <n v="2045"/>
        <n v="2057"/>
        <n v="2062"/>
        <n v="2103"/>
        <n v="2111"/>
        <n v="2127"/>
        <n v="2220"/>
        <n v="2228"/>
        <n v="2237"/>
        <n v="2291"/>
        <n v="2347"/>
        <n v="2377"/>
        <n v="2520"/>
        <n v="2531"/>
        <n v="2533"/>
        <n v="2534"/>
        <n v="2732"/>
        <n v="2774"/>
        <n v="2776"/>
        <n v="2777"/>
        <n v="3101"/>
        <n v="3124"/>
        <n v="3404"/>
        <n v="3665"/>
        <n v="4000"/>
        <n v="4007"/>
        <n v="4110"/>
        <n v="4113"/>
        <n v="4128"/>
        <n v="4130"/>
        <n v="4133"/>
        <n v="4143"/>
        <n v="4159"/>
        <n v="4164"/>
        <n v="4173"/>
        <n v="4174"/>
        <n v="4180"/>
        <n v="4191"/>
        <n v="4203"/>
        <n v="4206"/>
        <n v="4308"/>
        <n v="4310"/>
        <n v="4511"/>
        <n v="5208"/>
        <n v="5405"/>
        <n v="5412"/>
        <n v="5416"/>
      </sharedItems>
    </cacheField>
    <cacheField name="Helper Column" numFmtId="0">
      <sharedItems containsNonDate="0" containsString="0" containsBlank="1"/>
    </cacheField>
    <cacheField name="Pupil Identifier" numFmtId="0">
      <sharedItems containsNonDate="0" containsString="0" containsBlank="1"/>
    </cacheField>
    <cacheField name="Surname" numFmtId="0">
      <sharedItems containsNonDate="0" containsString="0" containsBlank="1"/>
    </cacheField>
    <cacheField name="Forenames" numFmtId="0">
      <sharedItems containsNonDate="0" containsString="0" containsBlank="1"/>
    </cacheField>
    <cacheField name="Date of Birth" numFmtId="0">
      <sharedItems containsNonDate="0" containsString="0" containsBlank="1"/>
    </cacheField>
    <cacheField name="NC Year at Current Date" numFmtId="0">
      <sharedItems containsSemiMixedTypes="0" containsString="0" containsNumber="1" containsInteger="1" minValue="-1" maxValue="12"/>
    </cacheField>
    <cacheField name="NC Year as at Autumn term" numFmtId="0">
      <sharedItems containsSemiMixedTypes="0" containsString="0" containsNumber="1" containsInteger="1" minValue="0" maxValue="13"/>
    </cacheField>
    <cacheField name="Responsible LEA" numFmtId="0">
      <sharedItems containsSemiMixedTypes="0" containsString="0" containsNumber="1" containsInteger="1" minValue="838" maxValue="938" count="8">
        <n v="850"/>
        <n v="938"/>
        <n v="851"/>
        <n v="839"/>
        <n v="852"/>
        <n v="865"/>
        <n v="936"/>
        <n v="838" u="1"/>
      </sharedItems>
    </cacheField>
    <cacheField name="LEA Description" numFmtId="0">
      <sharedItems/>
    </cacheField>
    <cacheField name="Unit Name" numFmtId="0">
      <sharedItems/>
    </cacheField>
    <cacheField name="Date Started at this School" numFmtId="0">
      <sharedItems containsSemiMixedTypes="0" containsNonDate="0" containsDate="1" containsString="0" minDate="2018-09-01T00:00:00" maxDate="2025-09-02T00:00:00"/>
    </cacheField>
    <cacheField name="Date Left School" numFmtId="14">
      <sharedItems containsNonDate="0" containsDate="1" containsString="0" containsBlank="1" minDate="2025-04-22T00:00:00" maxDate="2026-09-01T00:00:00"/>
    </cacheField>
    <cacheField name="Need" numFmtId="0">
      <sharedItems count="10">
        <s v="SLD"/>
        <s v="VI"/>
        <s v="SLCN"/>
        <s v="MLD"/>
        <s v="ASC"/>
        <s v="SEMH"/>
        <s v="HI"/>
        <s v="SpLD"/>
        <s v="PD - S"/>
        <s v="PD - L"/>
      </sharedItems>
    </cacheField>
    <cacheField name="HI/VI" numFmtId="0">
      <sharedItems containsMixedTypes="1" containsNumber="1" containsInteger="1" minValue="0" maxValue="0" count="3">
        <n v="0"/>
        <s v="VI"/>
        <s v="HI"/>
      </sharedItems>
    </cacheField>
    <cacheField name="Autumn Start date of month" numFmtId="14">
      <sharedItems containsDate="1" containsMixedTypes="1" minDate="2025-09-01T00:00:00" maxDate="2025-09-02T00:00:00"/>
    </cacheField>
    <cacheField name="Autumn End date of month" numFmtId="14">
      <sharedItems containsDate="1" containsMixedTypes="1" minDate="2025-10-02T00:00:00" maxDate="2026-01-01T00:00:00"/>
    </cacheField>
    <cacheField name="FTE Autumn" numFmtId="2">
      <sharedItems containsSemiMixedTypes="0" containsString="0" containsNumber="1" minValue="0" maxValue="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nes, Aimee" refreshedDate="46064.503406597221" createdVersion="8" refreshedVersion="8" minRefreshableVersion="3" recordCount="739" xr:uid="{4D61DC1C-F3A1-4E3F-BD50-9FFD3AA11A50}">
  <cacheSource type="worksheet">
    <worksheetSource ref="A3:R742" sheet="Autumn term 2025"/>
  </cacheSource>
  <cacheFields count="18">
    <cacheField name="DFE No" numFmtId="0">
      <sharedItems containsSemiMixedTypes="0" containsString="0" containsNumber="1" containsInteger="1" minValue="2005" maxValue="5416" count="55">
        <n v="2005"/>
        <n v="2011"/>
        <n v="2013"/>
        <n v="2018"/>
        <n v="2339"/>
        <n v="2045"/>
        <n v="2057"/>
        <n v="2062"/>
        <n v="2103"/>
        <n v="2111"/>
        <n v="2127"/>
        <n v="2220"/>
        <n v="2228"/>
        <n v="2237"/>
        <n v="2291"/>
        <n v="2347"/>
        <n v="2377"/>
        <n v="2520"/>
        <n v="2531"/>
        <n v="2533"/>
        <n v="2534"/>
        <n v="2732"/>
        <n v="2774"/>
        <n v="2776"/>
        <n v="2777"/>
        <n v="3101"/>
        <n v="3124"/>
        <n v="3404"/>
        <n v="3665"/>
        <n v="4000"/>
        <n v="4007"/>
        <n v="4110"/>
        <n v="4113"/>
        <n v="4128"/>
        <n v="4130"/>
        <n v="4133"/>
        <n v="4143"/>
        <n v="4159"/>
        <n v="4164"/>
        <n v="4173"/>
        <n v="4174"/>
        <n v="4180"/>
        <n v="4191"/>
        <n v="4203"/>
        <n v="4206"/>
        <n v="4308"/>
        <n v="4310"/>
        <n v="4511"/>
        <n v="5208"/>
        <n v="5405"/>
        <n v="5412"/>
        <n v="5416"/>
        <n v="2270"/>
        <n v="3197"/>
        <n v="3192"/>
      </sharedItems>
    </cacheField>
    <cacheField name="Helper Column" numFmtId="0">
      <sharedItems containsNonDate="0" containsString="0" containsBlank="1"/>
    </cacheField>
    <cacheField name="Pupil Identifier" numFmtId="0">
      <sharedItems containsNonDate="0" containsString="0" containsBlank="1"/>
    </cacheField>
    <cacheField name="Surname" numFmtId="0">
      <sharedItems containsNonDate="0" containsString="0" containsBlank="1"/>
    </cacheField>
    <cacheField name="Forenames" numFmtId="0">
      <sharedItems containsNonDate="0" containsString="0" containsBlank="1"/>
    </cacheField>
    <cacheField name="Date of Birth" numFmtId="0">
      <sharedItems containsNonDate="0" containsString="0" containsBlank="1"/>
    </cacheField>
    <cacheField name="NC Year at Current Date" numFmtId="0">
      <sharedItems containsString="0" containsBlank="1" containsNumber="1" containsInteger="1" minValue="-1" maxValue="12"/>
    </cacheField>
    <cacheField name="NC Year as at Autumn term" numFmtId="0">
      <sharedItems containsString="0" containsBlank="1" containsNumber="1" containsInteger="1" minValue="0" maxValue="13"/>
    </cacheField>
    <cacheField name="Responsible LEA" numFmtId="0">
      <sharedItems containsString="0" containsBlank="1" containsNumber="1" containsInteger="1" minValue="839" maxValue="938"/>
    </cacheField>
    <cacheField name="LEA Description" numFmtId="0">
      <sharedItems containsBlank="1"/>
    </cacheField>
    <cacheField name="Unit Name" numFmtId="0">
      <sharedItems/>
    </cacheField>
    <cacheField name="Date Started at this School" numFmtId="0">
      <sharedItems containsNonDate="0" containsDate="1" containsString="0" containsBlank="1" minDate="2018-09-01T00:00:00" maxDate="2025-09-02T00:00:00"/>
    </cacheField>
    <cacheField name="Date Left School" numFmtId="0">
      <sharedItems containsNonDate="0" containsDate="1" containsString="0" containsBlank="1" minDate="2025-04-22T00:00:00" maxDate="2026-09-01T00:00:00"/>
    </cacheField>
    <cacheField name="Need" numFmtId="0">
      <sharedItems count="10">
        <s v="SLD"/>
        <s v="VI"/>
        <s v="SLCN"/>
        <s v="MLD"/>
        <s v="ASC"/>
        <s v="SEMH"/>
        <s v="HI"/>
        <s v="SpLD"/>
        <s v="PD - S"/>
        <s v="PD - L"/>
      </sharedItems>
    </cacheField>
    <cacheField name="HI/VI" numFmtId="0">
      <sharedItems containsBlank="1" containsMixedTypes="1" containsNumber="1" containsInteger="1" minValue="0" maxValue="0"/>
    </cacheField>
    <cacheField name="Autumn Start date of month" numFmtId="14">
      <sharedItems containsDate="1" containsBlank="1" containsMixedTypes="1" minDate="2025-09-01T00:00:00" maxDate="2025-09-02T00:00:00"/>
    </cacheField>
    <cacheField name="Autumn End date of month" numFmtId="0">
      <sharedItems containsDate="1" containsBlank="1" containsMixedTypes="1" minDate="2025-10-02T00:00:00" maxDate="2026-01-01T00:00:00"/>
    </cacheField>
    <cacheField name="FTE Autumn" numFmtId="2">
      <sharedItems containsSemiMixedTypes="0" containsString="0" containsNumb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6">
  <r>
    <x v="0"/>
    <m/>
    <m/>
    <m/>
    <m/>
    <m/>
    <n v="0"/>
    <n v="1"/>
    <x v="0"/>
    <s v="HAMPSHIRE"/>
    <s v="Resourced Provision - Ashley Infant School"/>
    <d v="2024-09-01T00:00:00"/>
    <m/>
    <x v="0"/>
    <x v="0"/>
    <d v="2025-09-01T00:00:00"/>
    <d v="2025-12-31T00:00:00"/>
    <n v="1"/>
  </r>
  <r>
    <x v="0"/>
    <m/>
    <m/>
    <m/>
    <m/>
    <m/>
    <n v="0"/>
    <n v="1"/>
    <x v="0"/>
    <s v="HAMPSHIRE"/>
    <s v="Resourced Provision - Ashley Infant School"/>
    <d v="2025-09-01T00:00:00"/>
    <m/>
    <x v="0"/>
    <x v="0"/>
    <d v="2025-09-01T00:00:00"/>
    <d v="2025-12-31T00:00:00"/>
    <n v="1"/>
  </r>
  <r>
    <x v="0"/>
    <m/>
    <m/>
    <m/>
    <m/>
    <m/>
    <n v="-1"/>
    <n v="0"/>
    <x v="0"/>
    <s v="HAMPSHIRE"/>
    <s v="Resourced Provision - Ashley Infant School"/>
    <d v="2025-09-01T00:00:00"/>
    <m/>
    <x v="0"/>
    <x v="0"/>
    <d v="2025-09-01T00:00:00"/>
    <d v="2025-12-31T00:00:00"/>
    <n v="1"/>
  </r>
  <r>
    <x v="0"/>
    <m/>
    <m/>
    <m/>
    <m/>
    <m/>
    <n v="0"/>
    <n v="1"/>
    <x v="0"/>
    <s v="HAMPSHIRE"/>
    <s v="Resourced Provision - Ashley Infant School"/>
    <d v="2025-09-01T00:00:00"/>
    <m/>
    <x v="0"/>
    <x v="0"/>
    <d v="2025-09-01T00:00:00"/>
    <d v="2025-12-31T00:00:00"/>
    <n v="1"/>
  </r>
  <r>
    <x v="0"/>
    <m/>
    <m/>
    <m/>
    <m/>
    <m/>
    <n v="-1"/>
    <n v="0"/>
    <x v="0"/>
    <s v="HAMPSHIRE"/>
    <s v="Resourced Provision - Ashley Infant School"/>
    <d v="2025-09-01T00:00:00"/>
    <m/>
    <x v="0"/>
    <x v="0"/>
    <d v="2025-09-01T00:00:00"/>
    <d v="2025-12-31T00:00:00"/>
    <n v="1"/>
  </r>
  <r>
    <x v="0"/>
    <m/>
    <m/>
    <m/>
    <m/>
    <m/>
    <n v="2"/>
    <n v="3"/>
    <x v="0"/>
    <s v="HAMPSHIRE"/>
    <s v="Resourced Provision - Ashley Infant School"/>
    <d v="2023-09-01T00:00:00"/>
    <d v="2025-08-31T00:00:00"/>
    <x v="0"/>
    <x v="0"/>
    <s v=""/>
    <s v=""/>
    <n v="0"/>
  </r>
  <r>
    <x v="0"/>
    <m/>
    <m/>
    <m/>
    <m/>
    <m/>
    <n v="-1"/>
    <n v="0"/>
    <x v="0"/>
    <s v="HAMPSHIRE"/>
    <s v="Resourced Provision - Ashley Infant School"/>
    <d v="2025-09-01T00:00:00"/>
    <m/>
    <x v="0"/>
    <x v="0"/>
    <d v="2025-09-01T00:00:00"/>
    <d v="2025-12-31T00:00:00"/>
    <n v="1"/>
  </r>
  <r>
    <x v="0"/>
    <m/>
    <m/>
    <m/>
    <m/>
    <m/>
    <n v="2"/>
    <n v="3"/>
    <x v="0"/>
    <s v="HAMPSHIRE"/>
    <s v="Resourced Provision - Ashley Infant School"/>
    <d v="2022-09-01T00:00:00"/>
    <d v="2025-08-31T00:00:00"/>
    <x v="0"/>
    <x v="0"/>
    <s v=""/>
    <s v=""/>
    <n v="0"/>
  </r>
  <r>
    <x v="0"/>
    <m/>
    <m/>
    <m/>
    <m/>
    <m/>
    <n v="0"/>
    <n v="1"/>
    <x v="0"/>
    <s v="HAMPSHIRE"/>
    <s v="Resourced Provision - Ashley Infant School"/>
    <d v="2024-09-01T00:00:00"/>
    <m/>
    <x v="0"/>
    <x v="0"/>
    <d v="2025-09-01T00:00:00"/>
    <d v="2025-12-31T00:00:00"/>
    <n v="1"/>
  </r>
  <r>
    <x v="0"/>
    <m/>
    <m/>
    <m/>
    <m/>
    <m/>
    <n v="-1"/>
    <n v="0"/>
    <x v="0"/>
    <s v="HAMPSHIRE"/>
    <s v="Resourced Provision - Ashley Infant School"/>
    <d v="2025-09-01T00:00:00"/>
    <m/>
    <x v="0"/>
    <x v="0"/>
    <d v="2025-09-01T00:00:00"/>
    <d v="2025-12-31T00:00:00"/>
    <n v="1"/>
  </r>
  <r>
    <x v="0"/>
    <m/>
    <m/>
    <m/>
    <m/>
    <m/>
    <n v="2"/>
    <n v="3"/>
    <x v="0"/>
    <s v="HAMPSHIRE"/>
    <s v="Resourced Provision - Ashley Infant School"/>
    <d v="2022-09-01T00:00:00"/>
    <d v="2025-08-31T00:00:00"/>
    <x v="0"/>
    <x v="0"/>
    <s v=""/>
    <s v=""/>
    <n v="0"/>
  </r>
  <r>
    <x v="0"/>
    <m/>
    <m/>
    <m/>
    <m/>
    <m/>
    <n v="0"/>
    <n v="1"/>
    <x v="0"/>
    <s v="HAMPSHIRE"/>
    <s v="Resourced Provision - Ashley Infant School"/>
    <d v="2024-09-01T00:00:00"/>
    <m/>
    <x v="0"/>
    <x v="0"/>
    <d v="2025-09-01T00:00:00"/>
    <d v="2025-12-31T00:00:00"/>
    <n v="1"/>
  </r>
  <r>
    <x v="0"/>
    <m/>
    <m/>
    <m/>
    <m/>
    <m/>
    <n v="1"/>
    <n v="2"/>
    <x v="0"/>
    <s v="HAMPSHIRE"/>
    <s v="Resourced Provision - Ashley Infant School"/>
    <d v="2023-09-01T00:00:00"/>
    <m/>
    <x v="0"/>
    <x v="0"/>
    <d v="2025-09-01T00:00:00"/>
    <d v="2025-12-31T00:00:00"/>
    <n v="1"/>
  </r>
  <r>
    <x v="0"/>
    <m/>
    <m/>
    <m/>
    <m/>
    <m/>
    <n v="-1"/>
    <n v="0"/>
    <x v="0"/>
    <s v="HAMPSHIRE"/>
    <s v="Resourced Provision - Ashley Infant School"/>
    <d v="2025-09-01T00:00:00"/>
    <m/>
    <x v="0"/>
    <x v="0"/>
    <d v="2025-09-01T00:00:00"/>
    <d v="2025-12-31T00:00:00"/>
    <n v="1"/>
  </r>
  <r>
    <x v="0"/>
    <m/>
    <m/>
    <m/>
    <m/>
    <m/>
    <n v="2"/>
    <n v="3"/>
    <x v="0"/>
    <s v="HAMPSHIRE"/>
    <s v="Resourced Provision - Ashley Infant School"/>
    <d v="2022-09-01T00:00:00"/>
    <d v="2025-08-31T00:00:00"/>
    <x v="0"/>
    <x v="0"/>
    <s v=""/>
    <s v=""/>
    <n v="0"/>
  </r>
  <r>
    <x v="0"/>
    <m/>
    <m/>
    <m/>
    <m/>
    <m/>
    <n v="1"/>
    <n v="2"/>
    <x v="0"/>
    <s v="HAMPSHIRE"/>
    <s v="Resourced Provision - Ashley Infant School"/>
    <d v="2023-09-01T00:00:00"/>
    <m/>
    <x v="0"/>
    <x v="0"/>
    <d v="2025-09-01T00:00:00"/>
    <d v="2025-12-31T00:00:00"/>
    <n v="1"/>
  </r>
  <r>
    <x v="0"/>
    <m/>
    <m/>
    <m/>
    <m/>
    <m/>
    <n v="-1"/>
    <n v="0"/>
    <x v="0"/>
    <s v="HAMPSHIRE"/>
    <s v="Resourced Provision - Ashley Infant School"/>
    <d v="2025-09-01T00:00:00"/>
    <m/>
    <x v="0"/>
    <x v="0"/>
    <d v="2025-09-01T00:00:00"/>
    <d v="2025-12-31T00:00:00"/>
    <n v="1"/>
  </r>
  <r>
    <x v="0"/>
    <m/>
    <m/>
    <m/>
    <m/>
    <m/>
    <n v="1"/>
    <n v="2"/>
    <x v="0"/>
    <s v="HAMPSHIRE"/>
    <s v="Resourced Provision - Ashley Infant School"/>
    <d v="2023-09-01T00:00:00"/>
    <m/>
    <x v="0"/>
    <x v="0"/>
    <d v="2025-09-01T00:00:00"/>
    <d v="2025-12-31T00:00:00"/>
    <n v="1"/>
  </r>
  <r>
    <x v="0"/>
    <m/>
    <m/>
    <m/>
    <m/>
    <m/>
    <n v="1"/>
    <n v="2"/>
    <x v="0"/>
    <s v="HAMPSHIRE"/>
    <s v="Resourced Provision - Ashley Infant School"/>
    <d v="2023-09-01T00:00:00"/>
    <m/>
    <x v="0"/>
    <x v="0"/>
    <d v="2025-09-01T00:00:00"/>
    <d v="2025-12-31T00:00:00"/>
    <n v="1"/>
  </r>
  <r>
    <x v="0"/>
    <m/>
    <m/>
    <m/>
    <m/>
    <m/>
    <n v="0"/>
    <n v="1"/>
    <x v="0"/>
    <s v="HAMPSHIRE"/>
    <s v="Resourced Provision - Ashley Infant School"/>
    <d v="2025-09-01T00:00:00"/>
    <m/>
    <x v="0"/>
    <x v="0"/>
    <d v="2025-09-01T00:00:00"/>
    <d v="2025-12-31T00:00:00"/>
    <n v="1"/>
  </r>
  <r>
    <x v="0"/>
    <m/>
    <m/>
    <m/>
    <m/>
    <m/>
    <n v="0"/>
    <n v="1"/>
    <x v="0"/>
    <s v="HAMPSHIRE"/>
    <s v="Resourced Provision - Ashley Infant School"/>
    <d v="2025-09-01T00:00:00"/>
    <m/>
    <x v="0"/>
    <x v="0"/>
    <d v="2025-09-01T00:00:00"/>
    <d v="2025-12-31T00:00:00"/>
    <n v="1"/>
  </r>
  <r>
    <x v="0"/>
    <m/>
    <m/>
    <m/>
    <m/>
    <m/>
    <n v="-1"/>
    <n v="0"/>
    <x v="0"/>
    <s v="HAMPSHIRE"/>
    <s v="Resourced Provision - Ashley Infant School"/>
    <d v="2025-09-01T00:00:00"/>
    <m/>
    <x v="0"/>
    <x v="0"/>
    <d v="2025-09-01T00:00:00"/>
    <d v="2025-12-31T00:00:00"/>
    <n v="1"/>
  </r>
  <r>
    <x v="0"/>
    <m/>
    <m/>
    <m/>
    <m/>
    <m/>
    <n v="2"/>
    <n v="3"/>
    <x v="0"/>
    <s v="HAMPSHIRE"/>
    <s v="Resourced Provision - Ashley Infant School"/>
    <d v="2022-09-01T00:00:00"/>
    <d v="2025-08-31T00:00:00"/>
    <x v="0"/>
    <x v="0"/>
    <s v=""/>
    <s v=""/>
    <n v="0"/>
  </r>
  <r>
    <x v="0"/>
    <m/>
    <m/>
    <m/>
    <m/>
    <m/>
    <n v="2"/>
    <n v="3"/>
    <x v="0"/>
    <s v="HAMPSHIRE"/>
    <s v="Resourced Provision - Ashley Infant School"/>
    <d v="2022-09-01T00:00:00"/>
    <d v="2025-08-31T00:00:00"/>
    <x v="0"/>
    <x v="0"/>
    <s v=""/>
    <s v=""/>
    <n v="0"/>
  </r>
  <r>
    <x v="0"/>
    <m/>
    <m/>
    <m/>
    <m/>
    <m/>
    <n v="1"/>
    <n v="2"/>
    <x v="0"/>
    <s v="HAMPSHIRE"/>
    <s v="Resourced Provision - Ashley Infant School"/>
    <d v="2023-09-01T00:00:00"/>
    <m/>
    <x v="0"/>
    <x v="0"/>
    <d v="2025-09-01T00:00:00"/>
    <d v="2025-12-31T00:00:00"/>
    <n v="1"/>
  </r>
  <r>
    <x v="0"/>
    <m/>
    <m/>
    <m/>
    <m/>
    <m/>
    <n v="1"/>
    <n v="2"/>
    <x v="0"/>
    <s v="HAMPSHIRE"/>
    <s v="Resourced Provision - Ashley Infant School"/>
    <d v="2023-09-01T00:00:00"/>
    <m/>
    <x v="0"/>
    <x v="0"/>
    <d v="2025-09-01T00:00:00"/>
    <d v="2025-12-31T00:00:00"/>
    <n v="1"/>
  </r>
  <r>
    <x v="0"/>
    <m/>
    <m/>
    <m/>
    <m/>
    <m/>
    <n v="1"/>
    <n v="2"/>
    <x v="0"/>
    <s v="HAMPSHIRE"/>
    <s v="Resourced Provision - Ashley Infant School"/>
    <d v="2024-09-01T00:00:00"/>
    <m/>
    <x v="0"/>
    <x v="0"/>
    <d v="2025-09-01T00:00:00"/>
    <d v="2025-12-31T00:00:00"/>
    <n v="1"/>
  </r>
  <r>
    <x v="0"/>
    <m/>
    <m/>
    <m/>
    <m/>
    <m/>
    <n v="1"/>
    <n v="2"/>
    <x v="0"/>
    <s v="HAMPSHIRE"/>
    <s v="Resourced Provision - Ashley Infant School"/>
    <d v="2023-09-01T00:00:00"/>
    <m/>
    <x v="0"/>
    <x v="0"/>
    <d v="2025-09-01T00:00:00"/>
    <d v="2025-12-31T00:00:00"/>
    <n v="1"/>
  </r>
  <r>
    <x v="0"/>
    <m/>
    <m/>
    <m/>
    <m/>
    <m/>
    <n v="1"/>
    <n v="2"/>
    <x v="0"/>
    <s v="HAMPSHIRE"/>
    <s v="Resourced Provision - Ashley Infant School"/>
    <d v="2023-09-01T00:00:00"/>
    <m/>
    <x v="0"/>
    <x v="0"/>
    <d v="2025-09-01T00:00:00"/>
    <d v="2025-12-31T00:00:00"/>
    <n v="1"/>
  </r>
  <r>
    <x v="0"/>
    <m/>
    <m/>
    <m/>
    <m/>
    <m/>
    <n v="0"/>
    <n v="1"/>
    <x v="0"/>
    <s v="HAMPSHIRE"/>
    <s v="Resourced Provision - Ashley Infant School"/>
    <d v="2024-09-01T00:00:00"/>
    <m/>
    <x v="0"/>
    <x v="0"/>
    <d v="2025-09-01T00:00:00"/>
    <d v="2025-12-31T00:00:00"/>
    <n v="1"/>
  </r>
  <r>
    <x v="0"/>
    <m/>
    <m/>
    <m/>
    <m/>
    <m/>
    <n v="0"/>
    <n v="1"/>
    <x v="0"/>
    <s v="HAMPSHIRE"/>
    <s v="Resourced Provision - Ashley Infant School"/>
    <d v="2025-09-01T00:00:00"/>
    <m/>
    <x v="0"/>
    <x v="0"/>
    <d v="2025-09-01T00:00:00"/>
    <d v="2025-12-31T00:00:00"/>
    <n v="1"/>
  </r>
  <r>
    <x v="0"/>
    <m/>
    <m/>
    <m/>
    <m/>
    <m/>
    <n v="1"/>
    <n v="2"/>
    <x v="0"/>
    <s v="HAMPSHIRE"/>
    <s v="Resourced Provision - Ashley Infant School"/>
    <d v="2023-09-01T00:00:00"/>
    <m/>
    <x v="0"/>
    <x v="0"/>
    <d v="2025-09-01T00:00:00"/>
    <d v="2025-12-31T00:00:00"/>
    <n v="1"/>
  </r>
  <r>
    <x v="0"/>
    <m/>
    <m/>
    <m/>
    <m/>
    <m/>
    <n v="0"/>
    <n v="1"/>
    <x v="0"/>
    <s v="HAMPSHIRE"/>
    <s v="Resourced Provision - Ashley Infant School"/>
    <d v="2024-09-01T00:00:00"/>
    <m/>
    <x v="0"/>
    <x v="0"/>
    <d v="2025-09-01T00:00:00"/>
    <d v="2025-12-31T00:00:00"/>
    <n v="1"/>
  </r>
  <r>
    <x v="0"/>
    <m/>
    <m/>
    <m/>
    <m/>
    <m/>
    <n v="1"/>
    <n v="2"/>
    <x v="0"/>
    <s v="HAMPSHIRE"/>
    <s v="Resourced Provision - Ashley Infant School"/>
    <d v="2023-09-01T00:00:00"/>
    <m/>
    <x v="0"/>
    <x v="0"/>
    <d v="2025-09-01T00:00:00"/>
    <d v="2025-12-31T00:00:00"/>
    <n v="1"/>
  </r>
  <r>
    <x v="0"/>
    <m/>
    <m/>
    <m/>
    <m/>
    <m/>
    <n v="0"/>
    <n v="1"/>
    <x v="0"/>
    <s v="HAMPSHIRE"/>
    <s v="Resourced Provision - Ashley Infant School"/>
    <d v="2024-09-01T00:00:00"/>
    <m/>
    <x v="0"/>
    <x v="0"/>
    <d v="2025-09-01T00:00:00"/>
    <d v="2025-12-31T00:00:00"/>
    <n v="1"/>
  </r>
  <r>
    <x v="0"/>
    <m/>
    <m/>
    <m/>
    <m/>
    <m/>
    <n v="2"/>
    <n v="3"/>
    <x v="0"/>
    <s v="HAMPSHIRE"/>
    <s v="Resourced Provision - Ashley Infant School"/>
    <d v="2022-09-01T00:00:00"/>
    <d v="2025-08-31T00:00:00"/>
    <x v="0"/>
    <x v="0"/>
    <s v=""/>
    <s v=""/>
    <n v="0"/>
  </r>
  <r>
    <x v="0"/>
    <m/>
    <m/>
    <m/>
    <m/>
    <m/>
    <n v="0"/>
    <n v="1"/>
    <x v="0"/>
    <s v="HAMPSHIRE"/>
    <s v="Resourced Provision - Ashley Infant School"/>
    <d v="2024-09-01T00:00:00"/>
    <m/>
    <x v="0"/>
    <x v="0"/>
    <d v="2025-09-01T00:00:00"/>
    <d v="2025-12-31T00:00:00"/>
    <n v="1"/>
  </r>
  <r>
    <x v="0"/>
    <m/>
    <m/>
    <m/>
    <m/>
    <m/>
    <n v="-1"/>
    <n v="0"/>
    <x v="0"/>
    <s v="HAMPSHIRE"/>
    <s v="Resourced Provision - Ashley Infant School"/>
    <d v="2025-09-01T00:00:00"/>
    <m/>
    <x v="0"/>
    <x v="0"/>
    <d v="2025-09-01T00:00:00"/>
    <d v="2025-12-31T00:00:00"/>
    <n v="1"/>
  </r>
  <r>
    <x v="0"/>
    <m/>
    <m/>
    <m/>
    <m/>
    <m/>
    <n v="0"/>
    <n v="1"/>
    <x v="0"/>
    <s v="HAMPSHIRE"/>
    <s v="Resourced Provision - Ashley Infant School"/>
    <d v="2025-09-01T00:00:00"/>
    <m/>
    <x v="0"/>
    <x v="0"/>
    <d v="2025-09-01T00:00:00"/>
    <d v="2025-12-31T00:00:00"/>
    <n v="1"/>
  </r>
  <r>
    <x v="1"/>
    <m/>
    <m/>
    <m/>
    <m/>
    <m/>
    <n v="6"/>
    <n v="7"/>
    <x v="0"/>
    <s v="HAMPSHIRE"/>
    <s v="Resourced Provision - Great Binfields Primary"/>
    <d v="2024-01-03T00:00:00"/>
    <d v="2025-08-31T00:00:00"/>
    <x v="1"/>
    <x v="0"/>
    <s v=""/>
    <s v=""/>
    <n v="0"/>
  </r>
  <r>
    <x v="2"/>
    <m/>
    <m/>
    <m/>
    <m/>
    <m/>
    <n v="4"/>
    <n v="5"/>
    <x v="0"/>
    <s v="HAMPSHIRE"/>
    <s v="Resourced Provision (SLCN) South View Junior"/>
    <d v="2023-09-01T00:00:00"/>
    <m/>
    <x v="2"/>
    <x v="0"/>
    <d v="2025-09-01T00:00:00"/>
    <d v="2025-12-31T00:00:00"/>
    <n v="1"/>
  </r>
  <r>
    <x v="2"/>
    <m/>
    <m/>
    <m/>
    <m/>
    <m/>
    <n v="6"/>
    <n v="7"/>
    <x v="0"/>
    <s v="HAMPSHIRE"/>
    <s v="Resourced Provision (SLCN) South View Junior"/>
    <d v="2021-09-01T00:00:00"/>
    <d v="2025-08-31T00:00:00"/>
    <x v="2"/>
    <x v="0"/>
    <s v=""/>
    <s v=""/>
    <n v="0"/>
  </r>
  <r>
    <x v="2"/>
    <m/>
    <m/>
    <m/>
    <m/>
    <m/>
    <n v="5"/>
    <n v="6"/>
    <x v="0"/>
    <s v="HAMPSHIRE"/>
    <s v="Resourced Provision (SLCN) South View Junior"/>
    <d v="2022-09-01T00:00:00"/>
    <m/>
    <x v="2"/>
    <x v="0"/>
    <d v="2025-09-01T00:00:00"/>
    <d v="2025-12-31T00:00:00"/>
    <n v="1"/>
  </r>
  <r>
    <x v="2"/>
    <m/>
    <m/>
    <m/>
    <m/>
    <m/>
    <n v="5"/>
    <n v="6"/>
    <x v="0"/>
    <s v="HAMPSHIRE"/>
    <s v="Resourced Provision (SLCN) South View Junior"/>
    <d v="2022-09-01T00:00:00"/>
    <m/>
    <x v="2"/>
    <x v="0"/>
    <d v="2025-09-01T00:00:00"/>
    <d v="2025-12-31T00:00:00"/>
    <n v="1"/>
  </r>
  <r>
    <x v="2"/>
    <m/>
    <m/>
    <m/>
    <m/>
    <m/>
    <n v="3"/>
    <n v="4"/>
    <x v="0"/>
    <s v="HAMPSHIRE"/>
    <s v="Resourced Provision (SLCN) South View Junior"/>
    <d v="2024-09-01T00:00:00"/>
    <m/>
    <x v="2"/>
    <x v="0"/>
    <d v="2025-09-01T00:00:00"/>
    <d v="2025-12-31T00:00:00"/>
    <n v="1"/>
  </r>
  <r>
    <x v="2"/>
    <m/>
    <m/>
    <m/>
    <m/>
    <m/>
    <n v="5"/>
    <n v="6"/>
    <x v="0"/>
    <s v="HAMPSHIRE"/>
    <s v="Resourced Provision (SLCN) South View Junior"/>
    <d v="2022-09-01T00:00:00"/>
    <m/>
    <x v="2"/>
    <x v="0"/>
    <d v="2025-09-01T00:00:00"/>
    <d v="2025-12-31T00:00:00"/>
    <n v="1"/>
  </r>
  <r>
    <x v="2"/>
    <m/>
    <m/>
    <m/>
    <m/>
    <m/>
    <n v="4"/>
    <n v="5"/>
    <x v="0"/>
    <s v="HAMPSHIRE"/>
    <s v="Resourced Provision (SLCN) South View Junior"/>
    <d v="2024-04-15T00:00:00"/>
    <m/>
    <x v="2"/>
    <x v="0"/>
    <d v="2025-09-01T00:00:00"/>
    <d v="2025-12-31T00:00:00"/>
    <n v="1"/>
  </r>
  <r>
    <x v="2"/>
    <m/>
    <m/>
    <m/>
    <m/>
    <m/>
    <n v="3"/>
    <n v="4"/>
    <x v="0"/>
    <s v="HAMPSHIRE"/>
    <s v="Resourced Provision (MLD) South View Junior"/>
    <d v="2024-09-01T00:00:00"/>
    <m/>
    <x v="3"/>
    <x v="0"/>
    <d v="2025-09-01T00:00:00"/>
    <d v="2025-12-31T00:00:00"/>
    <n v="1"/>
  </r>
  <r>
    <x v="2"/>
    <m/>
    <m/>
    <m/>
    <m/>
    <m/>
    <n v="4"/>
    <n v="5"/>
    <x v="0"/>
    <s v="HAMPSHIRE"/>
    <s v="Resourced Provision (SLCN) South View Junior"/>
    <d v="2023-09-01T00:00:00"/>
    <m/>
    <x v="2"/>
    <x v="0"/>
    <d v="2025-09-01T00:00:00"/>
    <d v="2025-12-31T00:00:00"/>
    <n v="1"/>
  </r>
  <r>
    <x v="2"/>
    <m/>
    <m/>
    <m/>
    <m/>
    <m/>
    <n v="6"/>
    <n v="7"/>
    <x v="0"/>
    <s v="HAMPSHIRE"/>
    <s v="Resourced Provision (SLCN) South View Junior"/>
    <d v="2021-09-01T00:00:00"/>
    <d v="2025-08-31T00:00:00"/>
    <x v="2"/>
    <x v="0"/>
    <s v=""/>
    <s v=""/>
    <n v="0"/>
  </r>
  <r>
    <x v="2"/>
    <m/>
    <m/>
    <m/>
    <m/>
    <m/>
    <n v="5"/>
    <n v="6"/>
    <x v="0"/>
    <s v="HAMPSHIRE"/>
    <s v="Resourced Provision (SLCN) South View Junior"/>
    <d v="2022-09-01T00:00:00"/>
    <m/>
    <x v="2"/>
    <x v="0"/>
    <d v="2025-09-01T00:00:00"/>
    <d v="2025-12-31T00:00:00"/>
    <n v="1"/>
  </r>
  <r>
    <x v="2"/>
    <m/>
    <m/>
    <m/>
    <m/>
    <m/>
    <n v="6"/>
    <n v="7"/>
    <x v="0"/>
    <s v="HAMPSHIRE"/>
    <s v="Resourced Provision (SLCN) South View Junior"/>
    <d v="2021-09-01T00:00:00"/>
    <d v="2025-08-31T00:00:00"/>
    <x v="2"/>
    <x v="0"/>
    <s v=""/>
    <s v=""/>
    <n v="0"/>
  </r>
  <r>
    <x v="2"/>
    <m/>
    <m/>
    <m/>
    <m/>
    <m/>
    <n v="4"/>
    <n v="5"/>
    <x v="0"/>
    <s v="HAMPSHIRE"/>
    <s v="Resourced Provision (SLCN) South View Junior"/>
    <d v="2023-09-01T00:00:00"/>
    <m/>
    <x v="2"/>
    <x v="0"/>
    <d v="2025-09-01T00:00:00"/>
    <d v="2025-12-31T00:00:00"/>
    <n v="1"/>
  </r>
  <r>
    <x v="2"/>
    <m/>
    <m/>
    <m/>
    <m/>
    <m/>
    <n v="5"/>
    <n v="6"/>
    <x v="0"/>
    <s v="HAMPSHIRE"/>
    <s v="Resourced Provision (SLCN) South View Junior"/>
    <d v="2022-11-01T00:00:00"/>
    <m/>
    <x v="2"/>
    <x v="0"/>
    <d v="2025-09-01T00:00:00"/>
    <d v="2025-12-31T00:00:00"/>
    <n v="1"/>
  </r>
  <r>
    <x v="2"/>
    <m/>
    <m/>
    <m/>
    <m/>
    <m/>
    <n v="5"/>
    <n v="6"/>
    <x v="0"/>
    <s v="HAMPSHIRE"/>
    <s v="Resourced Provision (SLCN) South View Junior"/>
    <d v="2022-09-01T00:00:00"/>
    <m/>
    <x v="2"/>
    <x v="0"/>
    <d v="2025-09-01T00:00:00"/>
    <d v="2025-12-31T00:00:00"/>
    <n v="1"/>
  </r>
  <r>
    <x v="2"/>
    <m/>
    <m/>
    <m/>
    <m/>
    <m/>
    <n v="4"/>
    <n v="5"/>
    <x v="0"/>
    <s v="HAMPSHIRE"/>
    <s v="Resourced Provision (SLCN) South View Junior"/>
    <d v="2023-09-01T00:00:00"/>
    <m/>
    <x v="2"/>
    <x v="0"/>
    <d v="2025-09-01T00:00:00"/>
    <d v="2025-12-31T00:00:00"/>
    <n v="1"/>
  </r>
  <r>
    <x v="2"/>
    <m/>
    <m/>
    <m/>
    <m/>
    <m/>
    <n v="6"/>
    <n v="7"/>
    <x v="0"/>
    <s v="HAMPSHIRE"/>
    <s v="Resourced Provision (MLD) South View Junior"/>
    <d v="2022-09-01T00:00:00"/>
    <d v="2025-08-31T00:00:00"/>
    <x v="3"/>
    <x v="0"/>
    <s v=""/>
    <s v=""/>
    <n v="0"/>
  </r>
  <r>
    <x v="2"/>
    <m/>
    <m/>
    <m/>
    <m/>
    <m/>
    <n v="4"/>
    <n v="5"/>
    <x v="0"/>
    <s v="HAMPSHIRE"/>
    <s v="Resourced Provision (SLCN) South View Junior"/>
    <d v="2023-09-01T00:00:00"/>
    <m/>
    <x v="2"/>
    <x v="0"/>
    <d v="2025-09-01T00:00:00"/>
    <d v="2025-12-31T00:00:00"/>
    <n v="1"/>
  </r>
  <r>
    <x v="2"/>
    <m/>
    <m/>
    <m/>
    <m/>
    <m/>
    <n v="5"/>
    <n v="6"/>
    <x v="0"/>
    <s v="HAMPSHIRE"/>
    <s v="Resourced Provision (SLCN) South View Junior"/>
    <d v="2022-09-01T00:00:00"/>
    <m/>
    <x v="2"/>
    <x v="0"/>
    <d v="2025-09-01T00:00:00"/>
    <d v="2025-12-31T00:00:00"/>
    <n v="1"/>
  </r>
  <r>
    <x v="2"/>
    <m/>
    <m/>
    <m/>
    <m/>
    <m/>
    <n v="5"/>
    <n v="6"/>
    <x v="0"/>
    <s v="HAMPSHIRE"/>
    <s v="Resourced Provision (SLCN) South View Junior"/>
    <d v="2022-09-01T00:00:00"/>
    <m/>
    <x v="2"/>
    <x v="0"/>
    <d v="2025-09-01T00:00:00"/>
    <d v="2025-12-31T00:00:00"/>
    <n v="1"/>
  </r>
  <r>
    <x v="2"/>
    <m/>
    <m/>
    <m/>
    <m/>
    <m/>
    <n v="6"/>
    <n v="7"/>
    <x v="0"/>
    <s v="HAMPSHIRE"/>
    <s v="Resourced Provision (SLCN) South View Junior"/>
    <d v="2021-09-01T00:00:00"/>
    <d v="2025-08-31T00:00:00"/>
    <x v="2"/>
    <x v="0"/>
    <s v=""/>
    <s v=""/>
    <n v="0"/>
  </r>
  <r>
    <x v="2"/>
    <m/>
    <m/>
    <m/>
    <m/>
    <m/>
    <n v="5"/>
    <n v="6"/>
    <x v="0"/>
    <s v="HAMPSHIRE"/>
    <s v="Resourced Provision (MLD) South View Junior"/>
    <d v="2022-09-01T00:00:00"/>
    <m/>
    <x v="3"/>
    <x v="0"/>
    <d v="2025-09-01T00:00:00"/>
    <d v="2025-12-31T00:00:00"/>
    <n v="1"/>
  </r>
  <r>
    <x v="2"/>
    <m/>
    <m/>
    <m/>
    <m/>
    <m/>
    <n v="3"/>
    <n v="4"/>
    <x v="0"/>
    <s v="HAMPSHIRE"/>
    <s v="Resourced Provision (SLCN) South View Junior"/>
    <d v="2024-09-01T00:00:00"/>
    <m/>
    <x v="2"/>
    <x v="0"/>
    <d v="2025-09-01T00:00:00"/>
    <d v="2025-12-31T00:00:00"/>
    <n v="1"/>
  </r>
  <r>
    <x v="2"/>
    <m/>
    <m/>
    <m/>
    <m/>
    <m/>
    <n v="6"/>
    <n v="7"/>
    <x v="0"/>
    <s v="HAMPSHIRE"/>
    <s v="Resourced Provision (SLCN) South View Junior"/>
    <d v="2021-09-01T00:00:00"/>
    <d v="2025-08-31T00:00:00"/>
    <x v="2"/>
    <x v="0"/>
    <s v=""/>
    <s v=""/>
    <n v="0"/>
  </r>
  <r>
    <x v="2"/>
    <m/>
    <m/>
    <m/>
    <m/>
    <m/>
    <n v="3"/>
    <n v="4"/>
    <x v="0"/>
    <s v="HAMPSHIRE"/>
    <s v="Resourced Provision (SLCN) South View Junior"/>
    <d v="2024-09-01T00:00:00"/>
    <m/>
    <x v="2"/>
    <x v="0"/>
    <d v="2025-09-01T00:00:00"/>
    <d v="2025-12-31T00:00:00"/>
    <n v="1"/>
  </r>
  <r>
    <x v="2"/>
    <m/>
    <m/>
    <m/>
    <m/>
    <m/>
    <n v="4"/>
    <n v="5"/>
    <x v="0"/>
    <s v="HAMPSHIRE"/>
    <s v="Resourced Provision (SLCN) South View Junior"/>
    <d v="2023-09-01T00:00:00"/>
    <m/>
    <x v="2"/>
    <x v="0"/>
    <d v="2025-09-01T00:00:00"/>
    <d v="2025-12-31T00:00:00"/>
    <n v="1"/>
  </r>
  <r>
    <x v="2"/>
    <m/>
    <m/>
    <m/>
    <m/>
    <m/>
    <n v="3"/>
    <n v="4"/>
    <x v="0"/>
    <s v="HAMPSHIRE"/>
    <s v="Resourced Provision (MLD) South View Junior"/>
    <d v="2024-09-01T00:00:00"/>
    <m/>
    <x v="3"/>
    <x v="0"/>
    <d v="2025-09-01T00:00:00"/>
    <d v="2025-12-31T00:00:00"/>
    <n v="1"/>
  </r>
  <r>
    <x v="2"/>
    <m/>
    <m/>
    <m/>
    <m/>
    <m/>
    <n v="3"/>
    <n v="4"/>
    <x v="0"/>
    <s v="HAMPSHIRE"/>
    <s v="Resourced Provision (SLCN) South View Junior"/>
    <d v="2024-09-01T00:00:00"/>
    <m/>
    <x v="2"/>
    <x v="0"/>
    <d v="2025-09-01T00:00:00"/>
    <d v="2025-12-31T00:00:00"/>
    <n v="1"/>
  </r>
  <r>
    <x v="2"/>
    <m/>
    <m/>
    <m/>
    <m/>
    <m/>
    <n v="3"/>
    <n v="4"/>
    <x v="0"/>
    <s v="HAMPSHIRE"/>
    <s v="Resourced Provision (SLCN) South View Junior"/>
    <d v="2024-09-01T00:00:00"/>
    <m/>
    <x v="2"/>
    <x v="0"/>
    <d v="2025-09-01T00:00:00"/>
    <d v="2025-12-31T00:00:00"/>
    <n v="1"/>
  </r>
  <r>
    <x v="3"/>
    <m/>
    <m/>
    <m/>
    <m/>
    <m/>
    <n v="5"/>
    <n v="6"/>
    <x v="0"/>
    <s v="HAMPSHIRE"/>
    <s v="Resourced Provision - Stoke Park Junior School"/>
    <d v="2022-09-01T00:00:00"/>
    <m/>
    <x v="2"/>
    <x v="0"/>
    <d v="2025-09-01T00:00:00"/>
    <d v="2025-12-31T00:00:00"/>
    <n v="1"/>
  </r>
  <r>
    <x v="3"/>
    <m/>
    <m/>
    <m/>
    <m/>
    <m/>
    <n v="4"/>
    <n v="5"/>
    <x v="0"/>
    <s v="HAMPSHIRE"/>
    <s v="Resourced Provision - Stoke Park Junior School"/>
    <d v="2023-09-01T00:00:00"/>
    <m/>
    <x v="2"/>
    <x v="0"/>
    <d v="2025-09-01T00:00:00"/>
    <d v="2025-12-31T00:00:00"/>
    <n v="1"/>
  </r>
  <r>
    <x v="3"/>
    <m/>
    <m/>
    <m/>
    <m/>
    <m/>
    <n v="3"/>
    <n v="4"/>
    <x v="0"/>
    <s v="HAMPSHIRE"/>
    <s v="Resourced Provision - Stoke Park Junior School"/>
    <d v="2024-09-01T00:00:00"/>
    <m/>
    <x v="2"/>
    <x v="0"/>
    <d v="2025-09-01T00:00:00"/>
    <d v="2025-12-31T00:00:00"/>
    <n v="1"/>
  </r>
  <r>
    <x v="3"/>
    <m/>
    <m/>
    <m/>
    <m/>
    <m/>
    <n v="2"/>
    <n v="3"/>
    <x v="0"/>
    <s v="HAMPSHIRE"/>
    <s v="Resourced Provision - Stoke Park Infant School"/>
    <d v="2025-09-01T00:00:00"/>
    <m/>
    <x v="2"/>
    <x v="0"/>
    <d v="2025-09-01T00:00:00"/>
    <d v="2025-12-31T00:00:00"/>
    <n v="1"/>
  </r>
  <r>
    <x v="3"/>
    <m/>
    <m/>
    <m/>
    <m/>
    <m/>
    <n v="1"/>
    <n v="2"/>
    <x v="0"/>
    <s v="HAMPSHIRE"/>
    <s v="Resourced Provision - Stoke Park Infant School"/>
    <d v="2023-09-01T00:00:00"/>
    <m/>
    <x v="2"/>
    <x v="0"/>
    <d v="2025-09-01T00:00:00"/>
    <d v="2025-12-31T00:00:00"/>
    <n v="1"/>
  </r>
  <r>
    <x v="3"/>
    <m/>
    <m/>
    <m/>
    <m/>
    <m/>
    <n v="4"/>
    <n v="5"/>
    <x v="0"/>
    <s v="HAMPSHIRE"/>
    <s v="Resourced Provision - Stoke Park Junior School"/>
    <d v="2023-09-01T00:00:00"/>
    <m/>
    <x v="2"/>
    <x v="0"/>
    <d v="2025-09-01T00:00:00"/>
    <d v="2025-12-31T00:00:00"/>
    <n v="1"/>
  </r>
  <r>
    <x v="3"/>
    <m/>
    <m/>
    <m/>
    <m/>
    <m/>
    <n v="3"/>
    <n v="4"/>
    <x v="0"/>
    <s v="HAMPSHIRE"/>
    <s v="Resourced Provision - Stoke Park Infant School"/>
    <d v="2021-09-01T00:00:00"/>
    <m/>
    <x v="2"/>
    <x v="0"/>
    <d v="2025-09-01T00:00:00"/>
    <d v="2025-12-31T00:00:00"/>
    <n v="1"/>
  </r>
  <r>
    <x v="3"/>
    <m/>
    <m/>
    <m/>
    <m/>
    <m/>
    <n v="5"/>
    <n v="6"/>
    <x v="0"/>
    <s v="HAMPSHIRE"/>
    <s v="Resourced Provision - Stoke Park Junior School"/>
    <d v="2022-09-01T00:00:00"/>
    <m/>
    <x v="2"/>
    <x v="0"/>
    <d v="2025-09-01T00:00:00"/>
    <d v="2025-12-31T00:00:00"/>
    <n v="1"/>
  </r>
  <r>
    <x v="3"/>
    <m/>
    <m/>
    <m/>
    <m/>
    <m/>
    <n v="-1"/>
    <n v="0"/>
    <x v="0"/>
    <s v="HAMPSHIRE"/>
    <s v="Resourced Provision - Stoke Park Infant School"/>
    <d v="2025-09-01T00:00:00"/>
    <m/>
    <x v="2"/>
    <x v="0"/>
    <d v="2025-09-01T00:00:00"/>
    <d v="2025-12-31T00:00:00"/>
    <n v="1"/>
  </r>
  <r>
    <x v="3"/>
    <m/>
    <m/>
    <m/>
    <m/>
    <m/>
    <n v="2"/>
    <n v="3"/>
    <x v="0"/>
    <s v="HAMPSHIRE"/>
    <s v="Resourced Provision - Stoke Park Infant School"/>
    <d v="2024-09-01T00:00:00"/>
    <d v="2025-08-31T00:00:00"/>
    <x v="2"/>
    <x v="0"/>
    <s v=""/>
    <s v=""/>
    <n v="0"/>
  </r>
  <r>
    <x v="3"/>
    <m/>
    <m/>
    <m/>
    <m/>
    <m/>
    <n v="2"/>
    <n v="3"/>
    <x v="0"/>
    <s v="HAMPSHIRE"/>
    <s v="Resourced Provision - Stoke Park Junior School"/>
    <d v="2025-09-01T00:00:00"/>
    <m/>
    <x v="2"/>
    <x v="0"/>
    <d v="2025-09-01T00:00:00"/>
    <d v="2025-12-31T00:00:00"/>
    <n v="1"/>
  </r>
  <r>
    <x v="3"/>
    <m/>
    <m/>
    <m/>
    <m/>
    <m/>
    <n v="5"/>
    <n v="6"/>
    <x v="0"/>
    <s v="HAMPSHIRE"/>
    <s v="Resourced Provision - Stoke Park Junior School"/>
    <d v="2022-09-01T00:00:00"/>
    <m/>
    <x v="2"/>
    <x v="0"/>
    <d v="2025-09-01T00:00:00"/>
    <d v="2025-12-31T00:00:00"/>
    <n v="1"/>
  </r>
  <r>
    <x v="3"/>
    <m/>
    <m/>
    <m/>
    <m/>
    <m/>
    <n v="4"/>
    <n v="5"/>
    <x v="0"/>
    <s v="HAMPSHIRE"/>
    <s v="Resourced Provision - Stoke Park Junior School"/>
    <d v="2025-09-01T00:00:00"/>
    <m/>
    <x v="2"/>
    <x v="0"/>
    <d v="2025-09-01T00:00:00"/>
    <d v="2025-12-31T00:00:00"/>
    <n v="1"/>
  </r>
  <r>
    <x v="3"/>
    <m/>
    <m/>
    <m/>
    <m/>
    <m/>
    <n v="1"/>
    <n v="2"/>
    <x v="0"/>
    <s v="HAMPSHIRE"/>
    <s v="Resourced Provision - Stoke Park Infant School"/>
    <d v="2023-09-01T00:00:00"/>
    <m/>
    <x v="2"/>
    <x v="0"/>
    <d v="2025-09-01T00:00:00"/>
    <d v="2025-12-31T00:00:00"/>
    <n v="1"/>
  </r>
  <r>
    <x v="3"/>
    <m/>
    <m/>
    <m/>
    <m/>
    <m/>
    <n v="-1"/>
    <n v="0"/>
    <x v="0"/>
    <s v="HAMPSHIRE"/>
    <s v="Resourced Provision - Stoke Park Infant School"/>
    <d v="2025-09-01T00:00:00"/>
    <m/>
    <x v="2"/>
    <x v="0"/>
    <d v="2025-09-01T00:00:00"/>
    <d v="2025-12-31T00:00:00"/>
    <n v="1"/>
  </r>
  <r>
    <x v="3"/>
    <m/>
    <m/>
    <m/>
    <m/>
    <m/>
    <n v="2"/>
    <n v="3"/>
    <x v="0"/>
    <s v="HAMPSHIRE"/>
    <s v="Resourced Provision - Stoke Park Infant School"/>
    <d v="2022-09-01T00:00:00"/>
    <d v="2025-08-31T00:00:00"/>
    <x v="2"/>
    <x v="0"/>
    <s v=""/>
    <s v=""/>
    <n v="0"/>
  </r>
  <r>
    <x v="4"/>
    <m/>
    <m/>
    <m/>
    <m/>
    <m/>
    <n v="3"/>
    <n v="4"/>
    <x v="0"/>
    <s v="HAMPSHIRE"/>
    <s v="Resourced Provision - Velmead Junior School"/>
    <d v="2025-09-01T00:00:00"/>
    <m/>
    <x v="4"/>
    <x v="0"/>
    <d v="2025-09-01T00:00:00"/>
    <d v="2025-12-31T00:00:00"/>
    <n v="1"/>
  </r>
  <r>
    <x v="4"/>
    <m/>
    <m/>
    <m/>
    <m/>
    <m/>
    <n v="2"/>
    <n v="3"/>
    <x v="0"/>
    <s v="HAMPSHIRE"/>
    <s v="Resourced Provision - Velmead Junior School"/>
    <d v="2025-09-01T00:00:00"/>
    <m/>
    <x v="4"/>
    <x v="0"/>
    <d v="2025-09-01T00:00:00"/>
    <d v="2025-12-31T00:00:00"/>
    <n v="1"/>
  </r>
  <r>
    <x v="5"/>
    <m/>
    <m/>
    <m/>
    <m/>
    <m/>
    <n v="4"/>
    <n v="5"/>
    <x v="0"/>
    <s v="HAMPSHIRE"/>
    <s v="Resourced Provision - Sun Hill Junior School"/>
    <d v="2025-07-16T00:00:00"/>
    <m/>
    <x v="5"/>
    <x v="0"/>
    <d v="2025-09-01T00:00:00"/>
    <d v="2025-12-31T00:00:00"/>
    <n v="1"/>
  </r>
  <r>
    <x v="5"/>
    <m/>
    <m/>
    <m/>
    <m/>
    <m/>
    <n v="4"/>
    <n v="5"/>
    <x v="0"/>
    <s v="HAMPSHIRE"/>
    <s v="Resourced Provision - Sun Hill Junior School"/>
    <d v="2025-06-02T00:00:00"/>
    <m/>
    <x v="5"/>
    <x v="0"/>
    <d v="2025-09-01T00:00:00"/>
    <d v="2025-12-31T00:00:00"/>
    <n v="1"/>
  </r>
  <r>
    <x v="5"/>
    <m/>
    <m/>
    <m/>
    <m/>
    <m/>
    <n v="3"/>
    <n v="4"/>
    <x v="0"/>
    <s v="HAMPSHIRE"/>
    <s v="Resourced Provision - Sun Hill Junior School"/>
    <d v="2025-06-02T00:00:00"/>
    <m/>
    <x v="5"/>
    <x v="0"/>
    <d v="2025-09-01T00:00:00"/>
    <d v="2025-12-31T00:00:00"/>
    <n v="1"/>
  </r>
  <r>
    <x v="5"/>
    <m/>
    <m/>
    <m/>
    <m/>
    <m/>
    <n v="2"/>
    <n v="3"/>
    <x v="0"/>
    <s v="HAMPSHIRE"/>
    <s v="Resourced Provision - Sun Hill Junior School"/>
    <d v="2025-09-01T00:00:00"/>
    <m/>
    <x v="5"/>
    <x v="0"/>
    <d v="2025-09-01T00:00:00"/>
    <d v="2025-12-31T00:00:00"/>
    <n v="1"/>
  </r>
  <r>
    <x v="6"/>
    <m/>
    <m/>
    <m/>
    <m/>
    <m/>
    <n v="3"/>
    <n v="4"/>
    <x v="0"/>
    <s v="HAMPSHIRE"/>
    <s v="Resourced Provision (SEMH) - Wildground Junior"/>
    <d v="2024-09-01T00:00:00"/>
    <m/>
    <x v="5"/>
    <x v="0"/>
    <d v="2025-09-01T00:00:00"/>
    <d v="2025-12-31T00:00:00"/>
    <n v="1"/>
  </r>
  <r>
    <x v="6"/>
    <m/>
    <m/>
    <m/>
    <m/>
    <m/>
    <n v="5"/>
    <n v="6"/>
    <x v="0"/>
    <s v="HAMPSHIRE"/>
    <s v="Resourced Provision (SEMH) - Wildground Junior"/>
    <d v="2022-09-13T00:00:00"/>
    <m/>
    <x v="5"/>
    <x v="0"/>
    <d v="2025-09-01T00:00:00"/>
    <d v="2025-12-31T00:00:00"/>
    <n v="1"/>
  </r>
  <r>
    <x v="6"/>
    <m/>
    <m/>
    <m/>
    <m/>
    <m/>
    <n v="6"/>
    <n v="7"/>
    <x v="0"/>
    <s v="HAMPSHIRE"/>
    <s v="Resourced Provision (SEMH) - Wildground Junior"/>
    <d v="2021-09-13T00:00:00"/>
    <d v="2025-08-31T00:00:00"/>
    <x v="5"/>
    <x v="0"/>
    <s v=""/>
    <s v=""/>
    <n v="0"/>
  </r>
  <r>
    <x v="6"/>
    <m/>
    <m/>
    <m/>
    <m/>
    <m/>
    <n v="1"/>
    <n v="2"/>
    <x v="0"/>
    <s v="HAMPSHIRE"/>
    <s v="Resourced Provision (ASC) – Wildground Junior"/>
    <d v="2025-09-01T00:00:00"/>
    <m/>
    <x v="4"/>
    <x v="0"/>
    <d v="2025-09-01T00:00:00"/>
    <d v="2025-12-31T00:00:00"/>
    <n v="1"/>
  </r>
  <r>
    <x v="6"/>
    <m/>
    <m/>
    <m/>
    <m/>
    <m/>
    <n v="3"/>
    <n v="4"/>
    <x v="0"/>
    <s v="HAMPSHIRE"/>
    <s v="Resourced Provision (SEMH) - Wildground Junior"/>
    <d v="2024-09-01T00:00:00"/>
    <m/>
    <x v="5"/>
    <x v="0"/>
    <d v="2025-09-01T00:00:00"/>
    <d v="2025-12-31T00:00:00"/>
    <n v="1"/>
  </r>
  <r>
    <x v="6"/>
    <m/>
    <m/>
    <m/>
    <m/>
    <m/>
    <n v="3"/>
    <n v="4"/>
    <x v="0"/>
    <s v="HAMPSHIRE"/>
    <s v="Resourced Provision (ASC) – Wildground Junior"/>
    <d v="2024-09-01T00:00:00"/>
    <m/>
    <x v="4"/>
    <x v="0"/>
    <d v="2025-09-01T00:00:00"/>
    <d v="2025-12-31T00:00:00"/>
    <n v="1"/>
  </r>
  <r>
    <x v="6"/>
    <m/>
    <m/>
    <m/>
    <m/>
    <m/>
    <n v="5"/>
    <n v="6"/>
    <x v="0"/>
    <s v="HAMPSHIRE"/>
    <s v="Resourced Provision (ASC) – Wildground Junior"/>
    <d v="2022-09-01T00:00:00"/>
    <m/>
    <x v="4"/>
    <x v="0"/>
    <d v="2025-09-01T00:00:00"/>
    <d v="2025-12-31T00:00:00"/>
    <n v="1"/>
  </r>
  <r>
    <x v="6"/>
    <m/>
    <m/>
    <m/>
    <m/>
    <m/>
    <n v="1"/>
    <n v="2"/>
    <x v="0"/>
    <s v="HAMPSHIRE"/>
    <s v="Resourced Provision (ASC) – Wildground Infant"/>
    <d v="2025-09-01T00:00:00"/>
    <m/>
    <x v="4"/>
    <x v="0"/>
    <d v="2025-09-01T00:00:00"/>
    <d v="2025-12-31T00:00:00"/>
    <n v="1"/>
  </r>
  <r>
    <x v="6"/>
    <m/>
    <m/>
    <m/>
    <m/>
    <m/>
    <n v="1"/>
    <n v="2"/>
    <x v="0"/>
    <s v="HAMPSHIRE"/>
    <s v="Resourced Provision (SEMH) - Wildground Infant"/>
    <d v="2025-09-01T00:00:00"/>
    <m/>
    <x v="5"/>
    <x v="0"/>
    <d v="2025-09-01T00:00:00"/>
    <d v="2025-12-31T00:00:00"/>
    <n v="1"/>
  </r>
  <r>
    <x v="6"/>
    <m/>
    <m/>
    <m/>
    <m/>
    <m/>
    <n v="4"/>
    <n v="5"/>
    <x v="0"/>
    <s v="HAMPSHIRE"/>
    <s v="Resourced Provision (ASC) – Wildground Infant"/>
    <d v="2023-09-01T00:00:00"/>
    <m/>
    <x v="4"/>
    <x v="0"/>
    <d v="2025-09-01T00:00:00"/>
    <d v="2025-12-31T00:00:00"/>
    <n v="1"/>
  </r>
  <r>
    <x v="6"/>
    <m/>
    <m/>
    <m/>
    <m/>
    <m/>
    <n v="1"/>
    <n v="2"/>
    <x v="0"/>
    <s v="HAMPSHIRE"/>
    <s v="Resourced Provision (ASC) – Wildground Infant"/>
    <d v="2025-09-01T00:00:00"/>
    <m/>
    <x v="4"/>
    <x v="0"/>
    <d v="2025-09-01T00:00:00"/>
    <d v="2025-12-31T00:00:00"/>
    <n v="1"/>
  </r>
  <r>
    <x v="6"/>
    <m/>
    <m/>
    <m/>
    <m/>
    <m/>
    <n v="4"/>
    <n v="5"/>
    <x v="0"/>
    <s v="HAMPSHIRE"/>
    <s v="Resourced Provision (ASC) – Wildground Infant"/>
    <d v="2023-09-01T00:00:00"/>
    <m/>
    <x v="4"/>
    <x v="0"/>
    <d v="2025-09-01T00:00:00"/>
    <d v="2025-12-31T00:00:00"/>
    <n v="1"/>
  </r>
  <r>
    <x v="6"/>
    <m/>
    <m/>
    <m/>
    <m/>
    <m/>
    <n v="2"/>
    <n v="3"/>
    <x v="0"/>
    <s v="HAMPSHIRE"/>
    <s v="Resourced Provision (ASC) – Wildground Junior"/>
    <d v="2025-09-01T00:00:00"/>
    <m/>
    <x v="4"/>
    <x v="0"/>
    <d v="2025-09-01T00:00:00"/>
    <d v="2025-12-31T00:00:00"/>
    <n v="1"/>
  </r>
  <r>
    <x v="6"/>
    <m/>
    <m/>
    <m/>
    <m/>
    <m/>
    <n v="3"/>
    <n v="4"/>
    <x v="0"/>
    <s v="HAMPSHIRE"/>
    <s v="Resourced Provision (ASC) – Wildground Junior"/>
    <d v="2025-09-01T00:00:00"/>
    <m/>
    <x v="4"/>
    <x v="0"/>
    <d v="2025-09-01T00:00:00"/>
    <d v="2025-12-31T00:00:00"/>
    <n v="1"/>
  </r>
  <r>
    <x v="6"/>
    <m/>
    <m/>
    <m/>
    <m/>
    <m/>
    <n v="5"/>
    <n v="6"/>
    <x v="0"/>
    <s v="HAMPSHIRE"/>
    <s v="Resourced Provision (ASC) – Wildground Junior"/>
    <d v="2022-09-01T00:00:00"/>
    <m/>
    <x v="4"/>
    <x v="0"/>
    <d v="2025-09-01T00:00:00"/>
    <d v="2025-12-31T00:00:00"/>
    <n v="1"/>
  </r>
  <r>
    <x v="6"/>
    <m/>
    <m/>
    <m/>
    <m/>
    <m/>
    <n v="3"/>
    <n v="4"/>
    <x v="0"/>
    <s v="HAMPSHIRE"/>
    <s v="Resourced Provision (SEMH) - Wildground Junior"/>
    <d v="2024-09-01T00:00:00"/>
    <m/>
    <x v="5"/>
    <x v="0"/>
    <d v="2025-09-01T00:00:00"/>
    <d v="2025-12-31T00:00:00"/>
    <n v="1"/>
  </r>
  <r>
    <x v="6"/>
    <m/>
    <m/>
    <m/>
    <m/>
    <m/>
    <n v="5"/>
    <n v="6"/>
    <x v="0"/>
    <s v="HAMPSHIRE"/>
    <s v="Resourced Provision (ASC) – Wildground Junior"/>
    <d v="2022-09-01T00:00:00"/>
    <m/>
    <x v="4"/>
    <x v="0"/>
    <d v="2025-09-01T00:00:00"/>
    <d v="2025-12-31T00:00:00"/>
    <n v="1"/>
  </r>
  <r>
    <x v="6"/>
    <m/>
    <m/>
    <m/>
    <m/>
    <m/>
    <n v="1"/>
    <n v="2"/>
    <x v="0"/>
    <s v="HAMPSHIRE"/>
    <s v="Resourced Provision (SEMH) - Wildground Infant"/>
    <d v="2025-09-01T00:00:00"/>
    <m/>
    <x v="5"/>
    <x v="0"/>
    <d v="2025-09-01T00:00:00"/>
    <d v="2025-12-31T00:00:00"/>
    <n v="1"/>
  </r>
  <r>
    <x v="6"/>
    <m/>
    <m/>
    <m/>
    <m/>
    <m/>
    <n v="3"/>
    <n v="4"/>
    <x v="0"/>
    <s v="HAMPSHIRE"/>
    <s v="Resourced Provision (SEMH) - Wildground Infant"/>
    <d v="2023-09-01T00:00:00"/>
    <m/>
    <x v="5"/>
    <x v="0"/>
    <d v="2025-09-01T00:00:00"/>
    <d v="2025-12-31T00:00:00"/>
    <n v="1"/>
  </r>
  <r>
    <x v="6"/>
    <m/>
    <m/>
    <m/>
    <m/>
    <m/>
    <n v="3"/>
    <n v="4"/>
    <x v="0"/>
    <s v="HAMPSHIRE"/>
    <s v="Resourced Provision (ASC) – Wildground Junior"/>
    <d v="2024-09-01T00:00:00"/>
    <m/>
    <x v="4"/>
    <x v="0"/>
    <d v="2025-09-01T00:00:00"/>
    <d v="2025-12-31T00:00:00"/>
    <n v="1"/>
  </r>
  <r>
    <x v="6"/>
    <m/>
    <m/>
    <m/>
    <m/>
    <m/>
    <n v="6"/>
    <n v="7"/>
    <x v="0"/>
    <s v="HAMPSHIRE"/>
    <s v="Resourced Provision (SEMH) - Wildground Junior"/>
    <d v="2021-09-01T00:00:00"/>
    <d v="2025-08-31T00:00:00"/>
    <x v="5"/>
    <x v="0"/>
    <s v=""/>
    <s v=""/>
    <n v="0"/>
  </r>
  <r>
    <x v="6"/>
    <m/>
    <m/>
    <m/>
    <m/>
    <m/>
    <n v="0"/>
    <n v="1"/>
    <x v="0"/>
    <s v="HAMPSHIRE"/>
    <s v="Resourced Provision (ASC) – Wildground Infant"/>
    <d v="2025-06-04T00:00:00"/>
    <m/>
    <x v="4"/>
    <x v="0"/>
    <d v="2025-09-01T00:00:00"/>
    <d v="2025-12-31T00:00:00"/>
    <n v="1"/>
  </r>
  <r>
    <x v="6"/>
    <m/>
    <m/>
    <m/>
    <m/>
    <m/>
    <n v="1"/>
    <n v="2"/>
    <x v="0"/>
    <s v="HAMPSHIRE"/>
    <s v="Resourced Provision (ASC) – Wildground Infant"/>
    <d v="2024-09-01T00:00:00"/>
    <m/>
    <x v="4"/>
    <x v="0"/>
    <d v="2025-09-01T00:00:00"/>
    <d v="2025-12-31T00:00:00"/>
    <n v="1"/>
  </r>
  <r>
    <x v="6"/>
    <m/>
    <m/>
    <m/>
    <m/>
    <m/>
    <n v="2"/>
    <n v="3"/>
    <x v="0"/>
    <s v="HAMPSHIRE"/>
    <s v="Resourced Provision (SEMH) - Wildground Infant"/>
    <d v="2024-09-01T00:00:00"/>
    <m/>
    <x v="5"/>
    <x v="0"/>
    <d v="2025-09-01T00:00:00"/>
    <d v="2025-12-31T00:00:00"/>
    <n v="1"/>
  </r>
  <r>
    <x v="6"/>
    <m/>
    <m/>
    <m/>
    <m/>
    <m/>
    <n v="-1"/>
    <n v="0"/>
    <x v="0"/>
    <s v="HAMPSHIRE"/>
    <s v="Resourced Provision (ASC) – Wildground Infant"/>
    <d v="2025-09-01T00:00:00"/>
    <d v="2026-08-31T00:00:00"/>
    <x v="4"/>
    <x v="0"/>
    <d v="2025-09-01T00:00:00"/>
    <d v="2025-12-31T00:00:00"/>
    <n v="1"/>
  </r>
  <r>
    <x v="6"/>
    <m/>
    <m/>
    <m/>
    <m/>
    <m/>
    <n v="4"/>
    <n v="5"/>
    <x v="0"/>
    <s v="HAMPSHIRE"/>
    <s v="Resourced Provision (SEMH) - Wildground Infant"/>
    <d v="2023-09-01T00:00:00"/>
    <m/>
    <x v="5"/>
    <x v="0"/>
    <d v="2025-09-01T00:00:00"/>
    <d v="2025-12-31T00:00:00"/>
    <n v="1"/>
  </r>
  <r>
    <x v="6"/>
    <m/>
    <m/>
    <m/>
    <m/>
    <m/>
    <n v="3"/>
    <n v="4"/>
    <x v="0"/>
    <s v="HAMPSHIRE"/>
    <s v="Resourced Provision (ASC) – Wildground Junior"/>
    <d v="2024-09-01T00:00:00"/>
    <m/>
    <x v="4"/>
    <x v="0"/>
    <d v="2025-09-01T00:00:00"/>
    <d v="2025-12-31T00:00:00"/>
    <n v="1"/>
  </r>
  <r>
    <x v="6"/>
    <m/>
    <m/>
    <m/>
    <m/>
    <m/>
    <n v="5"/>
    <n v="6"/>
    <x v="0"/>
    <s v="HAMPSHIRE"/>
    <s v="Resourced Provision (ASC) – Wildground Junior"/>
    <d v="2022-09-01T00:00:00"/>
    <m/>
    <x v="4"/>
    <x v="0"/>
    <d v="2025-09-01T00:00:00"/>
    <d v="2025-12-31T00:00:00"/>
    <n v="1"/>
  </r>
  <r>
    <x v="6"/>
    <m/>
    <m/>
    <m/>
    <m/>
    <m/>
    <n v="1"/>
    <n v="2"/>
    <x v="0"/>
    <s v="HAMPSHIRE"/>
    <s v="Resourced Provision (ASC) – Wildground Infant"/>
    <d v="2024-09-01T00:00:00"/>
    <m/>
    <x v="4"/>
    <x v="0"/>
    <d v="2025-09-01T00:00:00"/>
    <d v="2025-12-31T00:00:00"/>
    <n v="1"/>
  </r>
  <r>
    <x v="7"/>
    <m/>
    <m/>
    <m/>
    <m/>
    <m/>
    <n v="6"/>
    <n v="7"/>
    <x v="0"/>
    <s v="HAMPSHIRE"/>
    <s v="Resourced Provision - Cherbourg Primary School"/>
    <d v="2021-09-01T00:00:00"/>
    <d v="2025-08-31T00:00:00"/>
    <x v="5"/>
    <x v="0"/>
    <s v=""/>
    <s v=""/>
    <n v="0"/>
  </r>
  <r>
    <x v="7"/>
    <m/>
    <m/>
    <m/>
    <m/>
    <m/>
    <n v="3"/>
    <n v="4"/>
    <x v="0"/>
    <s v="HAMPSHIRE"/>
    <s v="Resourced Provision - Cherbourg Primary School"/>
    <d v="2023-09-01T00:00:00"/>
    <m/>
    <x v="5"/>
    <x v="0"/>
    <d v="2025-09-01T00:00:00"/>
    <d v="2025-12-31T00:00:00"/>
    <n v="1"/>
  </r>
  <r>
    <x v="7"/>
    <m/>
    <m/>
    <m/>
    <m/>
    <m/>
    <n v="2"/>
    <n v="3"/>
    <x v="0"/>
    <s v="HAMPSHIRE"/>
    <s v="Resourced Provision - Cherbourg Primary School"/>
    <d v="2024-09-01T00:00:00"/>
    <m/>
    <x v="5"/>
    <x v="0"/>
    <d v="2025-09-01T00:00:00"/>
    <d v="2025-12-31T00:00:00"/>
    <n v="1"/>
  </r>
  <r>
    <x v="7"/>
    <m/>
    <m/>
    <m/>
    <m/>
    <m/>
    <n v="4"/>
    <n v="5"/>
    <x v="0"/>
    <s v="HAMPSHIRE"/>
    <s v="Resourced Provision - Cherbourg Primary School"/>
    <d v="2025-01-30T00:00:00"/>
    <m/>
    <x v="5"/>
    <x v="0"/>
    <d v="2025-09-01T00:00:00"/>
    <d v="2025-12-31T00:00:00"/>
    <n v="1"/>
  </r>
  <r>
    <x v="7"/>
    <m/>
    <m/>
    <m/>
    <m/>
    <m/>
    <n v="3"/>
    <n v="4"/>
    <x v="0"/>
    <s v="HAMPSHIRE"/>
    <s v="Resourced Provision - Cherbourg Primary School"/>
    <d v="2024-10-03T00:00:00"/>
    <m/>
    <x v="5"/>
    <x v="0"/>
    <d v="2025-09-01T00:00:00"/>
    <d v="2025-12-31T00:00:00"/>
    <n v="1"/>
  </r>
  <r>
    <x v="7"/>
    <m/>
    <m/>
    <m/>
    <m/>
    <m/>
    <n v="5"/>
    <n v="6"/>
    <x v="0"/>
    <s v="HAMPSHIRE"/>
    <s v="Resourced Provision - Cherbourg Primary School"/>
    <d v="2023-09-01T00:00:00"/>
    <d v="2025-10-02T00:00:00"/>
    <x v="5"/>
    <x v="0"/>
    <d v="2025-09-01T00:00:00"/>
    <d v="2025-10-02T00:00:00"/>
    <n v="0.26"/>
  </r>
  <r>
    <x v="7"/>
    <m/>
    <m/>
    <m/>
    <m/>
    <m/>
    <n v="3"/>
    <n v="4"/>
    <x v="0"/>
    <s v="HAMPSHIRE"/>
    <s v="Resourced Provision - Cherbourg Primary School"/>
    <d v="2024-09-01T00:00:00"/>
    <m/>
    <x v="5"/>
    <x v="0"/>
    <d v="2025-09-01T00:00:00"/>
    <d v="2025-12-31T00:00:00"/>
    <n v="1"/>
  </r>
  <r>
    <x v="7"/>
    <m/>
    <m/>
    <m/>
    <m/>
    <m/>
    <n v="6"/>
    <n v="7"/>
    <x v="0"/>
    <s v="HAMPSHIRE"/>
    <s v="Resourced Provision - Cherbourg Primary School"/>
    <d v="2021-09-01T00:00:00"/>
    <d v="2025-08-31T00:00:00"/>
    <x v="5"/>
    <x v="0"/>
    <s v=""/>
    <s v=""/>
    <n v="0"/>
  </r>
  <r>
    <x v="7"/>
    <m/>
    <m/>
    <m/>
    <m/>
    <m/>
    <n v="4"/>
    <n v="5"/>
    <x v="0"/>
    <s v="HAMPSHIRE"/>
    <s v="Resourced Provision - Cherbourg Primary School"/>
    <d v="2024-09-01T00:00:00"/>
    <m/>
    <x v="5"/>
    <x v="0"/>
    <d v="2025-09-01T00:00:00"/>
    <d v="2025-12-31T00:00:00"/>
    <n v="1"/>
  </r>
  <r>
    <x v="7"/>
    <m/>
    <m/>
    <m/>
    <m/>
    <m/>
    <n v="4"/>
    <n v="5"/>
    <x v="0"/>
    <s v="HAMPSHIRE"/>
    <s v="Resourced Provision - Cherbourg Primary School"/>
    <d v="2022-09-01T00:00:00"/>
    <m/>
    <x v="5"/>
    <x v="0"/>
    <d v="2025-09-01T00:00:00"/>
    <d v="2025-12-31T00:00:00"/>
    <n v="1"/>
  </r>
  <r>
    <x v="7"/>
    <m/>
    <m/>
    <m/>
    <m/>
    <m/>
    <n v="5"/>
    <n v="6"/>
    <x v="0"/>
    <s v="HAMPSHIRE"/>
    <s v="Resourced Provision - Cherbourg Primary School"/>
    <d v="2022-09-01T00:00:00"/>
    <m/>
    <x v="5"/>
    <x v="0"/>
    <d v="2025-09-01T00:00:00"/>
    <d v="2025-12-31T00:00:00"/>
    <n v="1"/>
  </r>
  <r>
    <x v="8"/>
    <m/>
    <m/>
    <m/>
    <m/>
    <m/>
    <n v="5"/>
    <n v="6"/>
    <x v="0"/>
    <s v="HAMPSHIRE"/>
    <s v="Resourced Provision (BESD)- Trosnant Junior School"/>
    <d v="2024-09-01T00:00:00"/>
    <m/>
    <x v="5"/>
    <x v="0"/>
    <d v="2025-09-01T00:00:00"/>
    <d v="2025-12-31T00:00:00"/>
    <n v="1"/>
  </r>
  <r>
    <x v="8"/>
    <m/>
    <m/>
    <m/>
    <m/>
    <m/>
    <n v="3"/>
    <n v="4"/>
    <x v="0"/>
    <s v="HAMPSHIRE"/>
    <s v="Resourced Provision (BESD)- Trosnant Junior School"/>
    <d v="2025-09-01T00:00:00"/>
    <m/>
    <x v="5"/>
    <x v="0"/>
    <d v="2025-09-01T00:00:00"/>
    <d v="2025-12-31T00:00:00"/>
    <n v="1"/>
  </r>
  <r>
    <x v="8"/>
    <m/>
    <m/>
    <m/>
    <m/>
    <m/>
    <n v="3"/>
    <n v="4"/>
    <x v="0"/>
    <s v="HAMPSHIRE"/>
    <s v="Resourced Provision (BESD)- Trosnant Junior School"/>
    <d v="2024-09-01T00:00:00"/>
    <m/>
    <x v="5"/>
    <x v="0"/>
    <d v="2025-09-01T00:00:00"/>
    <d v="2025-12-31T00:00:00"/>
    <n v="1"/>
  </r>
  <r>
    <x v="8"/>
    <m/>
    <m/>
    <m/>
    <m/>
    <m/>
    <n v="5"/>
    <n v="6"/>
    <x v="0"/>
    <s v="HAMPSHIRE"/>
    <s v="Resourced Provision (BESD)- Trosnant Junior School"/>
    <d v="2025-09-01T00:00:00"/>
    <m/>
    <x v="5"/>
    <x v="0"/>
    <d v="2025-09-01T00:00:00"/>
    <d v="2025-12-31T00:00:00"/>
    <n v="1"/>
  </r>
  <r>
    <x v="8"/>
    <m/>
    <m/>
    <m/>
    <m/>
    <m/>
    <n v="4"/>
    <n v="5"/>
    <x v="0"/>
    <s v="HAMPSHIRE"/>
    <s v="Resourced Provision (BESD)- Trosnant Junior School"/>
    <d v="2025-09-01T00:00:00"/>
    <m/>
    <x v="5"/>
    <x v="0"/>
    <d v="2025-09-01T00:00:00"/>
    <d v="2025-12-31T00:00:00"/>
    <n v="1"/>
  </r>
  <r>
    <x v="8"/>
    <m/>
    <m/>
    <m/>
    <m/>
    <m/>
    <n v="4"/>
    <n v="5"/>
    <x v="0"/>
    <s v="HAMPSHIRE"/>
    <s v="Resourced Provision (BESD)- Trosnant Junior School"/>
    <d v="2025-09-01T00:00:00"/>
    <m/>
    <x v="5"/>
    <x v="0"/>
    <d v="2025-09-01T00:00:00"/>
    <d v="2025-12-31T00:00:00"/>
    <n v="1"/>
  </r>
  <r>
    <x v="8"/>
    <m/>
    <m/>
    <m/>
    <m/>
    <m/>
    <n v="6"/>
    <n v="7"/>
    <x v="0"/>
    <s v="HAMPSHIRE"/>
    <s v="Resourced Provision (BESD)- Trosnant Junior School"/>
    <d v="2022-09-01T00:00:00"/>
    <d v="2025-08-31T00:00:00"/>
    <x v="5"/>
    <x v="0"/>
    <s v=""/>
    <s v=""/>
    <n v="0"/>
  </r>
  <r>
    <x v="8"/>
    <m/>
    <m/>
    <m/>
    <m/>
    <m/>
    <n v="6"/>
    <n v="7"/>
    <x v="0"/>
    <s v="HAMPSHIRE"/>
    <s v="Resourced Provision (BESD)- Trosnant Junior School"/>
    <d v="2023-01-01T00:00:00"/>
    <d v="2025-08-31T00:00:00"/>
    <x v="5"/>
    <x v="0"/>
    <s v=""/>
    <s v=""/>
    <n v="0"/>
  </r>
  <r>
    <x v="8"/>
    <m/>
    <m/>
    <m/>
    <m/>
    <m/>
    <n v="6"/>
    <n v="7"/>
    <x v="0"/>
    <s v="HAMPSHIRE"/>
    <s v="Resourced Provision (BESD)- Trosnant Junior School"/>
    <d v="2022-09-01T00:00:00"/>
    <d v="2025-08-31T00:00:00"/>
    <x v="5"/>
    <x v="0"/>
    <s v=""/>
    <s v=""/>
    <n v="0"/>
  </r>
  <r>
    <x v="8"/>
    <m/>
    <m/>
    <m/>
    <m/>
    <m/>
    <n v="2"/>
    <n v="3"/>
    <x v="0"/>
    <s v="HAMPSHIRE"/>
    <s v="Resourced Provision (BESD)- Trosnant Junior School"/>
    <d v="2024-09-01T00:00:00"/>
    <m/>
    <x v="5"/>
    <x v="0"/>
    <d v="2025-09-01T00:00:00"/>
    <d v="2025-12-31T00:00:00"/>
    <n v="1"/>
  </r>
  <r>
    <x v="8"/>
    <m/>
    <m/>
    <m/>
    <m/>
    <m/>
    <n v="4"/>
    <n v="5"/>
    <x v="1"/>
    <s v="WEST SUSSEX"/>
    <s v="Resourced Provision (BESD)- Trosnant Junior School"/>
    <d v="2025-09-01T00:00:00"/>
    <m/>
    <x v="5"/>
    <x v="0"/>
    <d v="2025-09-01T00:00:00"/>
    <d v="2025-12-31T00:00:00"/>
    <n v="1"/>
  </r>
  <r>
    <x v="9"/>
    <m/>
    <m/>
    <m/>
    <m/>
    <m/>
    <n v="6"/>
    <n v="7"/>
    <x v="0"/>
    <s v="HAMPSHIRE"/>
    <s v="Resourced Provision (ASC) - Tiptoe Primary School"/>
    <d v="2021-09-01T00:00:00"/>
    <d v="2025-08-31T00:00:00"/>
    <x v="4"/>
    <x v="0"/>
    <s v=""/>
    <s v=""/>
    <n v="0"/>
  </r>
  <r>
    <x v="9"/>
    <m/>
    <m/>
    <m/>
    <m/>
    <m/>
    <n v="5"/>
    <n v="6"/>
    <x v="0"/>
    <s v="HAMPSHIRE"/>
    <s v="Resourced Provision (ASC) - Tiptoe Primary School"/>
    <d v="2022-09-01T00:00:00"/>
    <m/>
    <x v="4"/>
    <x v="0"/>
    <d v="2025-09-01T00:00:00"/>
    <d v="2025-12-31T00:00:00"/>
    <n v="1"/>
  </r>
  <r>
    <x v="9"/>
    <m/>
    <m/>
    <m/>
    <m/>
    <m/>
    <n v="5"/>
    <n v="6"/>
    <x v="0"/>
    <s v="HAMPSHIRE"/>
    <s v="Resourced Provision (SLD) - Tiptoe Primary School"/>
    <d v="2022-09-01T00:00:00"/>
    <d v="2025-08-31T00:00:00"/>
    <x v="0"/>
    <x v="0"/>
    <s v=""/>
    <s v=""/>
    <n v="0"/>
  </r>
  <r>
    <x v="9"/>
    <m/>
    <m/>
    <m/>
    <m/>
    <m/>
    <n v="4"/>
    <n v="5"/>
    <x v="0"/>
    <s v="HAMPSHIRE"/>
    <s v="Resourced Provision (ASC) - Tiptoe Primary School"/>
    <d v="2023-09-01T00:00:00"/>
    <m/>
    <x v="4"/>
    <x v="0"/>
    <d v="2025-09-01T00:00:00"/>
    <d v="2025-12-31T00:00:00"/>
    <n v="1"/>
  </r>
  <r>
    <x v="9"/>
    <m/>
    <m/>
    <m/>
    <m/>
    <m/>
    <n v="4"/>
    <n v="5"/>
    <x v="0"/>
    <s v="HAMPSHIRE"/>
    <s v="Resourced Provision (SLD) - Tiptoe Primary School"/>
    <d v="2024-09-01T00:00:00"/>
    <m/>
    <x v="0"/>
    <x v="0"/>
    <d v="2025-09-01T00:00:00"/>
    <d v="2025-12-31T00:00:00"/>
    <n v="1"/>
  </r>
  <r>
    <x v="9"/>
    <m/>
    <m/>
    <m/>
    <m/>
    <m/>
    <n v="6"/>
    <n v="7"/>
    <x v="0"/>
    <s v="HAMPSHIRE"/>
    <s v="Resourced Provision (ASC) - Tiptoe Primary School"/>
    <d v="2021-09-01T00:00:00"/>
    <d v="2025-08-31T00:00:00"/>
    <x v="4"/>
    <x v="0"/>
    <s v=""/>
    <s v=""/>
    <n v="0"/>
  </r>
  <r>
    <x v="9"/>
    <m/>
    <m/>
    <m/>
    <m/>
    <m/>
    <n v="3"/>
    <n v="4"/>
    <x v="0"/>
    <s v="HAMPSHIRE"/>
    <s v="Resourced Provision (SLD) - Tiptoe Primary School"/>
    <d v="2024-09-01T00:00:00"/>
    <m/>
    <x v="0"/>
    <x v="0"/>
    <d v="2025-09-01T00:00:00"/>
    <d v="2025-12-31T00:00:00"/>
    <n v="1"/>
  </r>
  <r>
    <x v="9"/>
    <m/>
    <m/>
    <m/>
    <m/>
    <m/>
    <n v="4"/>
    <n v="5"/>
    <x v="0"/>
    <s v="HAMPSHIRE"/>
    <s v="Resourced Provision (ASC) - Tiptoe Primary School"/>
    <d v="2024-04-15T00:00:00"/>
    <m/>
    <x v="4"/>
    <x v="0"/>
    <d v="2025-09-01T00:00:00"/>
    <d v="2025-12-31T00:00:00"/>
    <n v="1"/>
  </r>
  <r>
    <x v="9"/>
    <m/>
    <m/>
    <m/>
    <m/>
    <m/>
    <n v="2"/>
    <n v="3"/>
    <x v="0"/>
    <s v="HAMPSHIRE"/>
    <s v="Resourced Provision (ASC) - Tiptoe Primary School"/>
    <d v="2025-09-01T00:00:00"/>
    <m/>
    <x v="4"/>
    <x v="0"/>
    <d v="2025-09-01T00:00:00"/>
    <d v="2025-12-31T00:00:00"/>
    <n v="1"/>
  </r>
  <r>
    <x v="9"/>
    <m/>
    <m/>
    <m/>
    <m/>
    <m/>
    <n v="4"/>
    <n v="5"/>
    <x v="0"/>
    <s v="HAMPSHIRE"/>
    <s v="Resourced Provision (ASC) - Tiptoe Primary School"/>
    <d v="2023-09-01T00:00:00"/>
    <m/>
    <x v="4"/>
    <x v="0"/>
    <d v="2025-09-01T00:00:00"/>
    <d v="2025-12-31T00:00:00"/>
    <n v="1"/>
  </r>
  <r>
    <x v="9"/>
    <m/>
    <m/>
    <m/>
    <m/>
    <m/>
    <n v="5"/>
    <n v="6"/>
    <x v="0"/>
    <s v="HAMPSHIRE"/>
    <s v="Resourced Provision (SLD) - Tiptoe Primary School"/>
    <d v="2022-09-01T00:00:00"/>
    <m/>
    <x v="0"/>
    <x v="0"/>
    <d v="2025-09-01T00:00:00"/>
    <d v="2025-12-31T00:00:00"/>
    <n v="1"/>
  </r>
  <r>
    <x v="9"/>
    <m/>
    <m/>
    <m/>
    <m/>
    <m/>
    <n v="3"/>
    <n v="4"/>
    <x v="0"/>
    <s v="HAMPSHIRE"/>
    <s v="Resourced Provision (ASC) - Tiptoe Primary School"/>
    <d v="2024-09-01T00:00:00"/>
    <m/>
    <x v="4"/>
    <x v="0"/>
    <d v="2025-09-01T00:00:00"/>
    <d v="2025-12-31T00:00:00"/>
    <n v="1"/>
  </r>
  <r>
    <x v="9"/>
    <m/>
    <m/>
    <m/>
    <m/>
    <m/>
    <n v="6"/>
    <n v="7"/>
    <x v="0"/>
    <s v="HAMPSHIRE"/>
    <s v="Resourced Provision (ASC) - Tiptoe Primary School"/>
    <d v="2022-03-08T00:00:00"/>
    <d v="2025-08-31T00:00:00"/>
    <x v="4"/>
    <x v="0"/>
    <s v=""/>
    <s v=""/>
    <n v="0"/>
  </r>
  <r>
    <x v="9"/>
    <m/>
    <m/>
    <m/>
    <m/>
    <m/>
    <n v="2"/>
    <n v="3"/>
    <x v="0"/>
    <s v="HAMPSHIRE"/>
    <s v="Resourced Provision (ASC) - Tiptoe Primary School"/>
    <d v="2025-09-01T00:00:00"/>
    <m/>
    <x v="4"/>
    <x v="0"/>
    <d v="2025-09-01T00:00:00"/>
    <d v="2025-12-31T00:00:00"/>
    <n v="1"/>
  </r>
  <r>
    <x v="9"/>
    <m/>
    <m/>
    <m/>
    <m/>
    <m/>
    <n v="4"/>
    <n v="5"/>
    <x v="0"/>
    <s v="HAMPSHIRE"/>
    <s v="Resourced Provision (ASC) - Tiptoe Primary School"/>
    <d v="2023-09-01T00:00:00"/>
    <m/>
    <x v="4"/>
    <x v="0"/>
    <d v="2025-09-01T00:00:00"/>
    <d v="2025-12-31T00:00:00"/>
    <n v="1"/>
  </r>
  <r>
    <x v="9"/>
    <m/>
    <m/>
    <m/>
    <m/>
    <m/>
    <n v="5"/>
    <n v="6"/>
    <x v="0"/>
    <s v="HAMPSHIRE"/>
    <s v="Resourced Provision (SLD) - Tiptoe Primary School"/>
    <d v="2022-09-01T00:00:00"/>
    <m/>
    <x v="0"/>
    <x v="0"/>
    <d v="2025-09-01T00:00:00"/>
    <d v="2025-12-31T00:00:00"/>
    <n v="1"/>
  </r>
  <r>
    <x v="9"/>
    <m/>
    <m/>
    <m/>
    <m/>
    <m/>
    <n v="5"/>
    <n v="6"/>
    <x v="0"/>
    <s v="HAMPSHIRE"/>
    <s v="Resourced Provision (SLD) - Tiptoe Primary School"/>
    <d v="2022-09-01T00:00:00"/>
    <m/>
    <x v="0"/>
    <x v="0"/>
    <d v="2025-09-01T00:00:00"/>
    <d v="2025-12-31T00:00:00"/>
    <n v="1"/>
  </r>
  <r>
    <x v="9"/>
    <m/>
    <m/>
    <m/>
    <m/>
    <m/>
    <n v="5"/>
    <n v="6"/>
    <x v="0"/>
    <s v="HAMPSHIRE"/>
    <s v="Resourced Provision (ASC) - Tiptoe Primary School"/>
    <d v="2022-09-01T00:00:00"/>
    <m/>
    <x v="4"/>
    <x v="0"/>
    <d v="2025-09-01T00:00:00"/>
    <d v="2025-12-31T00:00:00"/>
    <n v="1"/>
  </r>
  <r>
    <x v="9"/>
    <m/>
    <m/>
    <m/>
    <m/>
    <m/>
    <n v="4"/>
    <n v="5"/>
    <x v="0"/>
    <s v="HAMPSHIRE"/>
    <s v="Resourced Provision (SLD) - Tiptoe Primary School"/>
    <d v="2023-09-01T00:00:00"/>
    <m/>
    <x v="0"/>
    <x v="0"/>
    <d v="2025-09-01T00:00:00"/>
    <d v="2025-12-31T00:00:00"/>
    <n v="1"/>
  </r>
  <r>
    <x v="9"/>
    <m/>
    <m/>
    <m/>
    <m/>
    <m/>
    <n v="4"/>
    <n v="5"/>
    <x v="0"/>
    <s v="HAMPSHIRE"/>
    <s v="Resourced Provision (ASC) - Tiptoe Primary School"/>
    <d v="2025-09-01T00:00:00"/>
    <m/>
    <x v="4"/>
    <x v="0"/>
    <d v="2025-09-01T00:00:00"/>
    <d v="2025-12-31T00:00:00"/>
    <n v="1"/>
  </r>
  <r>
    <x v="9"/>
    <m/>
    <m/>
    <m/>
    <m/>
    <m/>
    <n v="4"/>
    <n v="5"/>
    <x v="0"/>
    <s v="HAMPSHIRE"/>
    <s v="Resourced Provision (ASC) - Tiptoe Primary School"/>
    <d v="2025-09-01T00:00:00"/>
    <m/>
    <x v="4"/>
    <x v="0"/>
    <d v="2025-09-01T00:00:00"/>
    <d v="2025-12-31T00:00:00"/>
    <n v="1"/>
  </r>
  <r>
    <x v="9"/>
    <m/>
    <m/>
    <m/>
    <m/>
    <m/>
    <n v="6"/>
    <n v="7"/>
    <x v="0"/>
    <s v="HAMPSHIRE"/>
    <s v="Resourced Provision (SLD) - Tiptoe Primary School"/>
    <d v="2021-09-01T00:00:00"/>
    <d v="2025-08-31T00:00:00"/>
    <x v="0"/>
    <x v="0"/>
    <s v=""/>
    <s v=""/>
    <n v="0"/>
  </r>
  <r>
    <x v="9"/>
    <m/>
    <m/>
    <m/>
    <m/>
    <m/>
    <n v="5"/>
    <n v="6"/>
    <x v="0"/>
    <s v="HAMPSHIRE"/>
    <s v="Resourced Provision (SLD) - Tiptoe Primary School"/>
    <d v="2022-09-01T00:00:00"/>
    <m/>
    <x v="0"/>
    <x v="0"/>
    <d v="2025-09-01T00:00:00"/>
    <d v="2025-12-31T00:00:00"/>
    <n v="1"/>
  </r>
  <r>
    <x v="9"/>
    <m/>
    <m/>
    <m/>
    <m/>
    <m/>
    <n v="2"/>
    <n v="3"/>
    <x v="0"/>
    <s v="HAMPSHIRE"/>
    <s v="Resourced Provision (ASC) - Tiptoe Primary School"/>
    <d v="2025-09-01T00:00:00"/>
    <m/>
    <x v="4"/>
    <x v="0"/>
    <d v="2025-09-01T00:00:00"/>
    <d v="2025-12-31T00:00:00"/>
    <n v="1"/>
  </r>
  <r>
    <x v="10"/>
    <m/>
    <m/>
    <m/>
    <m/>
    <m/>
    <n v="6"/>
    <n v="7"/>
    <x v="0"/>
    <s v="HAMPSHIRE"/>
    <s v="Resourced Provision - Liss Junior School"/>
    <d v="2021-09-01T00:00:00"/>
    <d v="2025-08-31T00:00:00"/>
    <x v="3"/>
    <x v="0"/>
    <s v=""/>
    <s v=""/>
    <n v="0"/>
  </r>
  <r>
    <x v="10"/>
    <m/>
    <m/>
    <m/>
    <m/>
    <m/>
    <n v="3"/>
    <n v="4"/>
    <x v="0"/>
    <s v="HAMPSHIRE"/>
    <s v="Resourced Provision - Liss Junior School"/>
    <d v="2024-09-01T00:00:00"/>
    <m/>
    <x v="3"/>
    <x v="0"/>
    <d v="2025-09-01T00:00:00"/>
    <d v="2025-12-31T00:00:00"/>
    <n v="1"/>
  </r>
  <r>
    <x v="10"/>
    <m/>
    <m/>
    <m/>
    <m/>
    <m/>
    <n v="5"/>
    <n v="6"/>
    <x v="0"/>
    <s v="HAMPSHIRE"/>
    <s v="Resourced Provision - Liss Junior School"/>
    <d v="2024-09-01T00:00:00"/>
    <m/>
    <x v="3"/>
    <x v="0"/>
    <d v="2025-09-01T00:00:00"/>
    <d v="2025-12-31T00:00:00"/>
    <n v="1"/>
  </r>
  <r>
    <x v="10"/>
    <m/>
    <m/>
    <m/>
    <m/>
    <m/>
    <n v="6"/>
    <n v="7"/>
    <x v="0"/>
    <s v="HAMPSHIRE"/>
    <s v="Resourced Provision - Liss Junior School"/>
    <d v="2023-04-17T00:00:00"/>
    <d v="2025-08-31T00:00:00"/>
    <x v="3"/>
    <x v="0"/>
    <s v=""/>
    <s v=""/>
    <n v="0"/>
  </r>
  <r>
    <x v="10"/>
    <m/>
    <m/>
    <m/>
    <m/>
    <m/>
    <n v="4"/>
    <n v="5"/>
    <x v="0"/>
    <s v="HAMPSHIRE"/>
    <s v="Resourced Provision - Liss Junior School"/>
    <d v="2023-09-01T00:00:00"/>
    <m/>
    <x v="3"/>
    <x v="0"/>
    <d v="2025-09-01T00:00:00"/>
    <d v="2025-12-31T00:00:00"/>
    <n v="1"/>
  </r>
  <r>
    <x v="10"/>
    <m/>
    <m/>
    <m/>
    <m/>
    <m/>
    <n v="3"/>
    <n v="4"/>
    <x v="0"/>
    <s v="HAMPSHIRE"/>
    <s v="Resourced Provision - Liss Junior School"/>
    <d v="2024-09-01T00:00:00"/>
    <m/>
    <x v="3"/>
    <x v="0"/>
    <d v="2025-09-01T00:00:00"/>
    <d v="2025-12-31T00:00:00"/>
    <n v="1"/>
  </r>
  <r>
    <x v="10"/>
    <m/>
    <m/>
    <m/>
    <m/>
    <m/>
    <n v="4"/>
    <n v="5"/>
    <x v="0"/>
    <s v="HAMPSHIRE"/>
    <s v="Resourced Provision - Liss Junior School"/>
    <d v="2023-09-01T00:00:00"/>
    <m/>
    <x v="3"/>
    <x v="0"/>
    <d v="2025-09-01T00:00:00"/>
    <d v="2025-12-31T00:00:00"/>
    <n v="1"/>
  </r>
  <r>
    <x v="10"/>
    <m/>
    <m/>
    <m/>
    <m/>
    <m/>
    <n v="5"/>
    <n v="6"/>
    <x v="0"/>
    <s v="HAMPSHIRE"/>
    <s v="Resourced Provision - Liss Junior School"/>
    <d v="2023-09-01T00:00:00"/>
    <m/>
    <x v="3"/>
    <x v="0"/>
    <d v="2025-09-01T00:00:00"/>
    <d v="2025-12-31T00:00:00"/>
    <n v="1"/>
  </r>
  <r>
    <x v="10"/>
    <m/>
    <m/>
    <m/>
    <m/>
    <m/>
    <n v="6"/>
    <n v="7"/>
    <x v="0"/>
    <s v="HAMPSHIRE"/>
    <s v="Resourced Provision - Liss Junior School"/>
    <d v="2021-09-01T00:00:00"/>
    <d v="2025-08-31T00:00:00"/>
    <x v="3"/>
    <x v="0"/>
    <s v=""/>
    <s v=""/>
    <n v="0"/>
  </r>
  <r>
    <x v="10"/>
    <m/>
    <m/>
    <m/>
    <m/>
    <m/>
    <n v="5"/>
    <n v="6"/>
    <x v="0"/>
    <s v="HAMPSHIRE"/>
    <s v="Resourced Provision - Liss Junior School"/>
    <d v="2022-09-01T00:00:00"/>
    <m/>
    <x v="3"/>
    <x v="0"/>
    <d v="2025-09-01T00:00:00"/>
    <d v="2025-12-31T00:00:00"/>
    <n v="1"/>
  </r>
  <r>
    <x v="10"/>
    <m/>
    <m/>
    <m/>
    <m/>
    <m/>
    <n v="5"/>
    <n v="6"/>
    <x v="0"/>
    <s v="HAMPSHIRE"/>
    <s v="Resourced Provision - Liss Junior School"/>
    <d v="2022-09-01T00:00:00"/>
    <m/>
    <x v="3"/>
    <x v="0"/>
    <d v="2025-09-01T00:00:00"/>
    <d v="2025-12-31T00:00:00"/>
    <n v="1"/>
  </r>
  <r>
    <x v="11"/>
    <m/>
    <m/>
    <m/>
    <m/>
    <m/>
    <n v="2"/>
    <n v="3"/>
    <x v="0"/>
    <s v="HAMPSHIRE"/>
    <s v="Resourced Provision - Vigo Primary School"/>
    <d v="2025-04-22T00:00:00"/>
    <m/>
    <x v="2"/>
    <x v="0"/>
    <d v="2025-09-01T00:00:00"/>
    <d v="2025-12-31T00:00:00"/>
    <n v="1"/>
  </r>
  <r>
    <x v="11"/>
    <m/>
    <m/>
    <m/>
    <m/>
    <m/>
    <n v="6"/>
    <n v="7"/>
    <x v="0"/>
    <s v="HAMPSHIRE"/>
    <s v="Resourced Provision - Vigo Primary School"/>
    <d v="2023-09-01T00:00:00"/>
    <d v="2025-08-31T00:00:00"/>
    <x v="2"/>
    <x v="0"/>
    <s v=""/>
    <s v=""/>
    <n v="0"/>
  </r>
  <r>
    <x v="11"/>
    <m/>
    <m/>
    <m/>
    <m/>
    <m/>
    <n v="4"/>
    <n v="5"/>
    <x v="0"/>
    <s v="HAMPSHIRE"/>
    <s v="Resourced Provision - Vigo Primary School"/>
    <d v="2023-06-14T00:00:00"/>
    <m/>
    <x v="2"/>
    <x v="0"/>
    <d v="2025-09-01T00:00:00"/>
    <d v="2025-12-31T00:00:00"/>
    <n v="1"/>
  </r>
  <r>
    <x v="11"/>
    <m/>
    <m/>
    <m/>
    <m/>
    <m/>
    <n v="6"/>
    <n v="7"/>
    <x v="0"/>
    <s v="HAMPSHIRE"/>
    <s v="Resourced Provision - Vigo Primary School"/>
    <d v="2023-05-18T00:00:00"/>
    <d v="2025-08-31T00:00:00"/>
    <x v="2"/>
    <x v="0"/>
    <s v=""/>
    <s v=""/>
    <n v="0"/>
  </r>
  <r>
    <x v="11"/>
    <m/>
    <m/>
    <m/>
    <m/>
    <m/>
    <n v="4"/>
    <n v="5"/>
    <x v="0"/>
    <s v="HAMPSHIRE"/>
    <s v="Resourced Provision - Vigo Primary School"/>
    <d v="2023-06-26T00:00:00"/>
    <m/>
    <x v="2"/>
    <x v="0"/>
    <d v="2025-09-01T00:00:00"/>
    <d v="2025-12-31T00:00:00"/>
    <n v="1"/>
  </r>
  <r>
    <x v="11"/>
    <m/>
    <m/>
    <m/>
    <m/>
    <m/>
    <n v="6"/>
    <n v="7"/>
    <x v="0"/>
    <s v="HAMPSHIRE"/>
    <s v="Resourced Provision - Vigo Primary School"/>
    <d v="2023-06-14T00:00:00"/>
    <d v="2025-08-31T00:00:00"/>
    <x v="2"/>
    <x v="0"/>
    <s v=""/>
    <s v=""/>
    <n v="0"/>
  </r>
  <r>
    <x v="11"/>
    <m/>
    <m/>
    <m/>
    <m/>
    <m/>
    <n v="-1"/>
    <n v="0"/>
    <x v="0"/>
    <s v="HAMPSHIRE"/>
    <s v="Resourced Provision - Vigo Primary School"/>
    <d v="2025-09-01T00:00:00"/>
    <m/>
    <x v="2"/>
    <x v="0"/>
    <d v="2025-09-01T00:00:00"/>
    <d v="2025-12-31T00:00:00"/>
    <n v="1"/>
  </r>
  <r>
    <x v="11"/>
    <m/>
    <m/>
    <m/>
    <m/>
    <m/>
    <n v="4"/>
    <n v="5"/>
    <x v="0"/>
    <s v="HAMPSHIRE"/>
    <s v="Resourced Provision - Vigo Primary School"/>
    <d v="2023-06-26T00:00:00"/>
    <m/>
    <x v="2"/>
    <x v="0"/>
    <d v="2025-09-01T00:00:00"/>
    <d v="2025-12-31T00:00:00"/>
    <n v="1"/>
  </r>
  <r>
    <x v="11"/>
    <m/>
    <m/>
    <m/>
    <m/>
    <m/>
    <n v="6"/>
    <n v="7"/>
    <x v="0"/>
    <s v="HAMPSHIRE"/>
    <s v="Resourced Provision - Vigo Primary School"/>
    <d v="2023-06-14T00:00:00"/>
    <d v="2025-08-31T00:00:00"/>
    <x v="2"/>
    <x v="0"/>
    <s v=""/>
    <s v=""/>
    <n v="0"/>
  </r>
  <r>
    <x v="11"/>
    <m/>
    <m/>
    <m/>
    <m/>
    <m/>
    <n v="0"/>
    <n v="1"/>
    <x v="0"/>
    <s v="HAMPSHIRE"/>
    <s v="Resourced Provision - Vigo Primary School"/>
    <d v="2024-09-13T00:00:00"/>
    <m/>
    <x v="2"/>
    <x v="0"/>
    <d v="2025-09-01T00:00:00"/>
    <d v="2025-12-31T00:00:00"/>
    <n v="1"/>
  </r>
  <r>
    <x v="11"/>
    <m/>
    <m/>
    <m/>
    <m/>
    <m/>
    <n v="1"/>
    <n v="2"/>
    <x v="0"/>
    <s v="HAMPSHIRE"/>
    <s v="Resourced Provision - Vigo Primary School"/>
    <d v="2023-09-01T00:00:00"/>
    <m/>
    <x v="2"/>
    <x v="0"/>
    <d v="2025-09-01T00:00:00"/>
    <d v="2025-12-31T00:00:00"/>
    <n v="1"/>
  </r>
  <r>
    <x v="11"/>
    <m/>
    <m/>
    <m/>
    <m/>
    <m/>
    <n v="5"/>
    <n v="6"/>
    <x v="0"/>
    <s v="HAMPSHIRE"/>
    <s v="Resourced Provision - Vigo Primary School"/>
    <d v="2023-11-02T00:00:00"/>
    <m/>
    <x v="2"/>
    <x v="0"/>
    <d v="2025-09-01T00:00:00"/>
    <d v="2025-12-31T00:00:00"/>
    <n v="1"/>
  </r>
  <r>
    <x v="11"/>
    <m/>
    <m/>
    <m/>
    <m/>
    <m/>
    <n v="2"/>
    <n v="3"/>
    <x v="0"/>
    <s v="HAMPSHIRE"/>
    <s v="Resourced Provision - Vigo Primary School"/>
    <d v="2025-03-04T00:00:00"/>
    <m/>
    <x v="2"/>
    <x v="0"/>
    <d v="2025-09-01T00:00:00"/>
    <d v="2025-12-31T00:00:00"/>
    <n v="1"/>
  </r>
  <r>
    <x v="12"/>
    <m/>
    <m/>
    <m/>
    <m/>
    <m/>
    <n v="-1"/>
    <n v="0"/>
    <x v="0"/>
    <s v="HAMPSHIRE"/>
    <s v="Resourced Provision (SLCN) - South View Infant"/>
    <d v="2025-09-01T00:00:00"/>
    <m/>
    <x v="2"/>
    <x v="0"/>
    <d v="2025-09-01T00:00:00"/>
    <d v="2025-12-31T00:00:00"/>
    <n v="1"/>
  </r>
  <r>
    <x v="12"/>
    <m/>
    <m/>
    <m/>
    <m/>
    <m/>
    <n v="0"/>
    <n v="1"/>
    <x v="0"/>
    <s v="HAMPSHIRE"/>
    <s v="Resourced Provision (SLCN) - South View Infant"/>
    <d v="2024-09-01T00:00:00"/>
    <m/>
    <x v="2"/>
    <x v="0"/>
    <d v="2025-09-01T00:00:00"/>
    <d v="2025-12-31T00:00:00"/>
    <n v="1"/>
  </r>
  <r>
    <x v="12"/>
    <m/>
    <m/>
    <m/>
    <m/>
    <m/>
    <n v="1"/>
    <n v="2"/>
    <x v="0"/>
    <s v="HAMPSHIRE"/>
    <s v="Resourced Provision (SLCN) - South View Infant"/>
    <d v="2023-09-01T00:00:00"/>
    <m/>
    <x v="2"/>
    <x v="0"/>
    <d v="2025-09-01T00:00:00"/>
    <d v="2025-12-31T00:00:00"/>
    <n v="1"/>
  </r>
  <r>
    <x v="12"/>
    <m/>
    <m/>
    <m/>
    <m/>
    <m/>
    <n v="2"/>
    <n v="3"/>
    <x v="0"/>
    <s v="HAMPSHIRE"/>
    <s v="Resourced Provision (SLCN) - South View Infant"/>
    <d v="2022-09-01T00:00:00"/>
    <d v="2025-08-31T00:00:00"/>
    <x v="2"/>
    <x v="0"/>
    <s v=""/>
    <s v=""/>
    <n v="0"/>
  </r>
  <r>
    <x v="12"/>
    <m/>
    <m/>
    <m/>
    <m/>
    <m/>
    <n v="0"/>
    <n v="1"/>
    <x v="0"/>
    <s v="HAMPSHIRE"/>
    <s v="Resourced Provision (SLCN) - South View Infant"/>
    <d v="2025-09-01T00:00:00"/>
    <m/>
    <x v="2"/>
    <x v="0"/>
    <d v="2025-09-01T00:00:00"/>
    <d v="2025-12-31T00:00:00"/>
    <n v="1"/>
  </r>
  <r>
    <x v="12"/>
    <m/>
    <m/>
    <m/>
    <m/>
    <m/>
    <n v="1"/>
    <n v="2"/>
    <x v="0"/>
    <s v="HAMPSHIRE"/>
    <s v="Resourced Provision (SLCN) - South View Infant"/>
    <d v="2023-09-01T00:00:00"/>
    <m/>
    <x v="2"/>
    <x v="0"/>
    <d v="2025-09-01T00:00:00"/>
    <d v="2025-12-31T00:00:00"/>
    <n v="1"/>
  </r>
  <r>
    <x v="12"/>
    <m/>
    <m/>
    <m/>
    <m/>
    <m/>
    <n v="2"/>
    <n v="3"/>
    <x v="0"/>
    <s v="HAMPSHIRE"/>
    <s v="Resourced Provision (SLCN) - South View Infant"/>
    <d v="2022-09-01T00:00:00"/>
    <d v="2025-08-31T00:00:00"/>
    <x v="2"/>
    <x v="0"/>
    <s v=""/>
    <s v=""/>
    <n v="0"/>
  </r>
  <r>
    <x v="12"/>
    <m/>
    <m/>
    <m/>
    <m/>
    <m/>
    <n v="1"/>
    <n v="2"/>
    <x v="0"/>
    <s v="HAMPSHIRE"/>
    <s v="Resourced Provision (SLCN) - South View Infant"/>
    <d v="2023-09-01T00:00:00"/>
    <m/>
    <x v="2"/>
    <x v="0"/>
    <d v="2025-09-01T00:00:00"/>
    <d v="2025-12-31T00:00:00"/>
    <n v="1"/>
  </r>
  <r>
    <x v="12"/>
    <m/>
    <m/>
    <m/>
    <m/>
    <m/>
    <n v="1"/>
    <n v="2"/>
    <x v="0"/>
    <s v="HAMPSHIRE"/>
    <s v="Resourced Provision (SLCN) - South View Infant"/>
    <d v="2023-09-01T00:00:00"/>
    <d v="2025-05-12T00:00:00"/>
    <x v="2"/>
    <x v="0"/>
    <s v=""/>
    <s v=""/>
    <n v="0"/>
  </r>
  <r>
    <x v="12"/>
    <m/>
    <m/>
    <m/>
    <m/>
    <m/>
    <n v="1"/>
    <n v="2"/>
    <x v="0"/>
    <s v="HAMPSHIRE"/>
    <s v="Resourced Provision (SLCN) - South View Infant"/>
    <d v="2025-09-01T00:00:00"/>
    <m/>
    <x v="2"/>
    <x v="0"/>
    <d v="2025-09-01T00:00:00"/>
    <d v="2025-12-31T00:00:00"/>
    <n v="1"/>
  </r>
  <r>
    <x v="12"/>
    <m/>
    <m/>
    <m/>
    <m/>
    <m/>
    <n v="1"/>
    <n v="2"/>
    <x v="0"/>
    <s v="HAMPSHIRE"/>
    <s v="Resourced Provision (SLCN) - South View Infant"/>
    <d v="2023-09-01T00:00:00"/>
    <m/>
    <x v="2"/>
    <x v="0"/>
    <d v="2025-09-01T00:00:00"/>
    <d v="2025-12-31T00:00:00"/>
    <n v="1"/>
  </r>
  <r>
    <x v="12"/>
    <m/>
    <m/>
    <m/>
    <m/>
    <m/>
    <n v="-1"/>
    <n v="0"/>
    <x v="0"/>
    <s v="HAMPSHIRE"/>
    <s v="Resourced Provision (SLCN) - South View Infant"/>
    <d v="2025-09-01T00:00:00"/>
    <m/>
    <x v="2"/>
    <x v="0"/>
    <d v="2025-09-01T00:00:00"/>
    <d v="2025-12-31T00:00:00"/>
    <n v="1"/>
  </r>
  <r>
    <x v="12"/>
    <m/>
    <m/>
    <m/>
    <m/>
    <m/>
    <n v="2"/>
    <n v="3"/>
    <x v="0"/>
    <s v="HAMPSHIRE"/>
    <s v="Resourced Provision (SLCN) - South View Infant"/>
    <d v="2022-09-01T00:00:00"/>
    <d v="2025-08-31T00:00:00"/>
    <x v="2"/>
    <x v="0"/>
    <s v=""/>
    <s v=""/>
    <n v="0"/>
  </r>
  <r>
    <x v="12"/>
    <m/>
    <m/>
    <m/>
    <m/>
    <m/>
    <n v="-1"/>
    <n v="0"/>
    <x v="0"/>
    <s v="HAMPSHIRE"/>
    <s v="Resourced Provision (SLCN) - South View Infant"/>
    <d v="2025-09-01T00:00:00"/>
    <m/>
    <x v="2"/>
    <x v="0"/>
    <d v="2025-09-01T00:00:00"/>
    <d v="2025-12-31T00:00:00"/>
    <n v="1"/>
  </r>
  <r>
    <x v="12"/>
    <m/>
    <m/>
    <m/>
    <m/>
    <m/>
    <n v="0"/>
    <n v="1"/>
    <x v="0"/>
    <s v="HAMPSHIRE"/>
    <s v="Resourced Provision (SLCN) - South View Infant"/>
    <d v="2024-09-01T00:00:00"/>
    <m/>
    <x v="2"/>
    <x v="0"/>
    <d v="2025-09-01T00:00:00"/>
    <d v="2025-12-31T00:00:00"/>
    <n v="1"/>
  </r>
  <r>
    <x v="12"/>
    <m/>
    <m/>
    <m/>
    <m/>
    <m/>
    <n v="0"/>
    <n v="1"/>
    <x v="0"/>
    <s v="HAMPSHIRE"/>
    <s v="Resourced Provision (SLCN) - South View Infant"/>
    <d v="2024-09-01T00:00:00"/>
    <d v="2025-08-31T00:00:00"/>
    <x v="2"/>
    <x v="0"/>
    <s v=""/>
    <s v=""/>
    <n v="0"/>
  </r>
  <r>
    <x v="12"/>
    <m/>
    <m/>
    <m/>
    <m/>
    <m/>
    <n v="2"/>
    <n v="3"/>
    <x v="0"/>
    <s v="HAMPSHIRE"/>
    <s v="Resourced Provision (SLCN) - South View Infant"/>
    <d v="2022-09-01T00:00:00"/>
    <d v="2025-08-31T00:00:00"/>
    <x v="2"/>
    <x v="0"/>
    <s v=""/>
    <s v=""/>
    <n v="0"/>
  </r>
  <r>
    <x v="12"/>
    <m/>
    <m/>
    <m/>
    <m/>
    <m/>
    <n v="0"/>
    <n v="1"/>
    <x v="0"/>
    <s v="HAMPSHIRE"/>
    <s v="Resourced Provision (SLCN) - South View Infant"/>
    <d v="2024-09-01T00:00:00"/>
    <m/>
    <x v="2"/>
    <x v="0"/>
    <d v="2025-09-01T00:00:00"/>
    <d v="2025-12-31T00:00:00"/>
    <n v="1"/>
  </r>
  <r>
    <x v="12"/>
    <m/>
    <m/>
    <m/>
    <m/>
    <m/>
    <n v="-1"/>
    <n v="0"/>
    <x v="0"/>
    <s v="HAMPSHIRE"/>
    <s v="Resourced Provision (SLCN) - South View Infant"/>
    <d v="2025-09-01T00:00:00"/>
    <m/>
    <x v="2"/>
    <x v="0"/>
    <d v="2025-09-01T00:00:00"/>
    <d v="2025-12-31T00:00:00"/>
    <n v="1"/>
  </r>
  <r>
    <x v="12"/>
    <m/>
    <m/>
    <m/>
    <m/>
    <m/>
    <n v="2"/>
    <n v="3"/>
    <x v="0"/>
    <s v="HAMPSHIRE"/>
    <s v="Resourced Provision (MLD) - South View Infant"/>
    <d v="2022-09-01T00:00:00"/>
    <d v="2025-08-31T00:00:00"/>
    <x v="3"/>
    <x v="0"/>
    <s v=""/>
    <s v=""/>
    <n v="0"/>
  </r>
  <r>
    <x v="12"/>
    <m/>
    <m/>
    <m/>
    <m/>
    <m/>
    <n v="2"/>
    <n v="3"/>
    <x v="0"/>
    <s v="HAMPSHIRE"/>
    <s v="Resourced Provision (SLCN) - South View Infant"/>
    <d v="2022-09-01T00:00:00"/>
    <d v="2025-08-31T00:00:00"/>
    <x v="2"/>
    <x v="0"/>
    <s v=""/>
    <s v=""/>
    <n v="0"/>
  </r>
  <r>
    <x v="12"/>
    <m/>
    <m/>
    <m/>
    <m/>
    <m/>
    <n v="0"/>
    <n v="1"/>
    <x v="0"/>
    <s v="HAMPSHIRE"/>
    <s v="Resourced Provision (SLCN) - South View Infant"/>
    <d v="2024-09-01T00:00:00"/>
    <m/>
    <x v="2"/>
    <x v="0"/>
    <d v="2025-09-01T00:00:00"/>
    <d v="2025-12-31T00:00:00"/>
    <n v="1"/>
  </r>
  <r>
    <x v="12"/>
    <m/>
    <m/>
    <m/>
    <m/>
    <m/>
    <n v="1"/>
    <n v="2"/>
    <x v="0"/>
    <s v="HAMPSHIRE"/>
    <s v="Resourced Provision (SLCN) - South View Infant"/>
    <d v="2023-09-01T00:00:00"/>
    <m/>
    <x v="2"/>
    <x v="0"/>
    <d v="2025-09-01T00:00:00"/>
    <d v="2025-12-31T00:00:00"/>
    <n v="1"/>
  </r>
  <r>
    <x v="12"/>
    <m/>
    <m/>
    <m/>
    <m/>
    <m/>
    <n v="0"/>
    <n v="1"/>
    <x v="0"/>
    <s v="HAMPSHIRE"/>
    <s v="Resourced Provision (SLCN) - South View Infant"/>
    <d v="2024-09-01T00:00:00"/>
    <m/>
    <x v="2"/>
    <x v="0"/>
    <d v="2025-09-01T00:00:00"/>
    <d v="2025-12-31T00:00:00"/>
    <n v="1"/>
  </r>
  <r>
    <x v="12"/>
    <m/>
    <m/>
    <m/>
    <m/>
    <m/>
    <n v="0"/>
    <n v="1"/>
    <x v="0"/>
    <s v="HAMPSHIRE"/>
    <s v="Resourced Provision (SLCN) - South View Infant"/>
    <d v="2025-03-12T00:00:00"/>
    <m/>
    <x v="2"/>
    <x v="0"/>
    <d v="2025-09-01T00:00:00"/>
    <d v="2025-12-31T00:00:00"/>
    <n v="1"/>
  </r>
  <r>
    <x v="12"/>
    <m/>
    <m/>
    <m/>
    <m/>
    <m/>
    <n v="-1"/>
    <n v="0"/>
    <x v="0"/>
    <s v="HAMPSHIRE"/>
    <s v="Resourced Provision (SLCN) - South View Infant"/>
    <d v="2025-09-01T00:00:00"/>
    <m/>
    <x v="2"/>
    <x v="0"/>
    <d v="2025-09-01T00:00:00"/>
    <d v="2025-12-31T00:00:00"/>
    <n v="1"/>
  </r>
  <r>
    <x v="12"/>
    <m/>
    <m/>
    <m/>
    <m/>
    <m/>
    <n v="0"/>
    <n v="1"/>
    <x v="0"/>
    <s v="HAMPSHIRE"/>
    <s v="Resourced Provision (SLCN) - South View Infant"/>
    <d v="2024-09-01T00:00:00"/>
    <m/>
    <x v="2"/>
    <x v="0"/>
    <d v="2025-09-01T00:00:00"/>
    <d v="2025-12-31T00:00:00"/>
    <n v="1"/>
  </r>
  <r>
    <x v="12"/>
    <m/>
    <m/>
    <m/>
    <m/>
    <m/>
    <n v="1"/>
    <n v="2"/>
    <x v="0"/>
    <s v="HAMPSHIRE"/>
    <s v="Resourced Provision (SLCN) - South View Infant"/>
    <d v="2023-09-01T00:00:00"/>
    <m/>
    <x v="2"/>
    <x v="0"/>
    <d v="2025-09-01T00:00:00"/>
    <d v="2025-12-31T00:00:00"/>
    <n v="1"/>
  </r>
  <r>
    <x v="12"/>
    <m/>
    <m/>
    <m/>
    <m/>
    <m/>
    <n v="0"/>
    <n v="1"/>
    <x v="0"/>
    <s v="HAMPSHIRE"/>
    <s v="Resourced Provision (SLCN) - South View Infant"/>
    <d v="2024-09-01T00:00:00"/>
    <m/>
    <x v="2"/>
    <x v="0"/>
    <d v="2025-09-01T00:00:00"/>
    <d v="2025-12-31T00:00:00"/>
    <n v="1"/>
  </r>
  <r>
    <x v="12"/>
    <m/>
    <m/>
    <m/>
    <m/>
    <m/>
    <n v="-1"/>
    <n v="0"/>
    <x v="0"/>
    <s v="HAMPSHIRE"/>
    <s v="Resourced Provision (SLCN) - South View Infant"/>
    <d v="2025-09-01T00:00:00"/>
    <m/>
    <x v="2"/>
    <x v="0"/>
    <d v="2025-09-01T00:00:00"/>
    <d v="2025-12-31T00:00:00"/>
    <n v="1"/>
  </r>
  <r>
    <x v="12"/>
    <m/>
    <m/>
    <m/>
    <m/>
    <m/>
    <n v="1"/>
    <n v="2"/>
    <x v="0"/>
    <s v="HAMPSHIRE"/>
    <s v="Resourced Provision (SLCN) - South View Infant"/>
    <d v="2025-09-01T00:00:00"/>
    <m/>
    <x v="2"/>
    <x v="0"/>
    <d v="2025-09-01T00:00:00"/>
    <d v="2025-12-31T00:00:00"/>
    <n v="1"/>
  </r>
  <r>
    <x v="13"/>
    <m/>
    <m/>
    <m/>
    <m/>
    <m/>
    <n v="0"/>
    <n v="1"/>
    <x v="0"/>
    <s v="HAMPSHIRE"/>
    <s v="Resourced Provision - Hiltingbury Infant School"/>
    <d v="2024-09-01T00:00:00"/>
    <m/>
    <x v="2"/>
    <x v="0"/>
    <d v="2025-09-01T00:00:00"/>
    <d v="2025-12-31T00:00:00"/>
    <n v="1"/>
  </r>
  <r>
    <x v="13"/>
    <m/>
    <m/>
    <m/>
    <m/>
    <m/>
    <n v="4"/>
    <n v="5"/>
    <x v="0"/>
    <s v="HAMPSHIRE"/>
    <s v="Resourced Provision - Hiltingbury Infant School"/>
    <d v="2023-09-01T00:00:00"/>
    <m/>
    <x v="2"/>
    <x v="0"/>
    <d v="2025-09-01T00:00:00"/>
    <d v="2025-12-31T00:00:00"/>
    <n v="1"/>
  </r>
  <r>
    <x v="13"/>
    <m/>
    <m/>
    <m/>
    <m/>
    <m/>
    <n v="2"/>
    <n v="3"/>
    <x v="0"/>
    <s v="HAMPSHIRE"/>
    <s v="Resourced Provision - Hiltingbury Infant School"/>
    <d v="2022-09-01T00:00:00"/>
    <d v="2025-08-31T00:00:00"/>
    <x v="2"/>
    <x v="0"/>
    <s v=""/>
    <s v=""/>
    <n v="0"/>
  </r>
  <r>
    <x v="13"/>
    <m/>
    <m/>
    <m/>
    <m/>
    <m/>
    <n v="0"/>
    <n v="1"/>
    <x v="0"/>
    <s v="HAMPSHIRE"/>
    <s v="Resourced Provision - Hiltingbury Infant School"/>
    <d v="2023-09-01T00:00:00"/>
    <m/>
    <x v="2"/>
    <x v="0"/>
    <d v="2025-09-01T00:00:00"/>
    <d v="2025-12-31T00:00:00"/>
    <n v="1"/>
  </r>
  <r>
    <x v="13"/>
    <m/>
    <m/>
    <m/>
    <m/>
    <m/>
    <n v="1"/>
    <n v="2"/>
    <x v="0"/>
    <s v="HAMPSHIRE"/>
    <s v="Resourced Provision - Hiltingbury Infant School"/>
    <d v="2023-09-01T00:00:00"/>
    <m/>
    <x v="2"/>
    <x v="0"/>
    <d v="2025-09-01T00:00:00"/>
    <d v="2025-12-31T00:00:00"/>
    <n v="1"/>
  </r>
  <r>
    <x v="13"/>
    <m/>
    <m/>
    <m/>
    <m/>
    <m/>
    <n v="0"/>
    <n v="1"/>
    <x v="0"/>
    <s v="HAMPSHIRE"/>
    <s v="Resourced Provision - Hiltingbury Infant School"/>
    <d v="2022-09-01T00:00:00"/>
    <m/>
    <x v="2"/>
    <x v="0"/>
    <d v="2025-09-01T00:00:00"/>
    <d v="2025-12-31T00:00:00"/>
    <n v="1"/>
  </r>
  <r>
    <x v="13"/>
    <m/>
    <m/>
    <m/>
    <m/>
    <m/>
    <n v="4"/>
    <n v="5"/>
    <x v="0"/>
    <s v="HAMPSHIRE"/>
    <s v="Resourced Provision - Hiltingbury Infant School"/>
    <d v="2020-09-09T00:00:00"/>
    <m/>
    <x v="2"/>
    <x v="0"/>
    <d v="2025-09-01T00:00:00"/>
    <d v="2025-12-31T00:00:00"/>
    <n v="1"/>
  </r>
  <r>
    <x v="13"/>
    <m/>
    <m/>
    <m/>
    <m/>
    <m/>
    <n v="0"/>
    <n v="1"/>
    <x v="0"/>
    <s v="HAMPSHIRE"/>
    <s v="Resourced Provision - Hiltingbury Infant School"/>
    <d v="2024-09-01T00:00:00"/>
    <d v="2025-08-31T00:00:00"/>
    <x v="2"/>
    <x v="0"/>
    <s v=""/>
    <s v=""/>
    <n v="0"/>
  </r>
  <r>
    <x v="13"/>
    <m/>
    <m/>
    <m/>
    <m/>
    <m/>
    <n v="1"/>
    <n v="2"/>
    <x v="0"/>
    <s v="HAMPSHIRE"/>
    <s v="Resourced Provision - Hiltingbury Infant School"/>
    <d v="2023-09-01T00:00:00"/>
    <m/>
    <x v="2"/>
    <x v="0"/>
    <d v="2025-09-01T00:00:00"/>
    <d v="2025-12-31T00:00:00"/>
    <n v="1"/>
  </r>
  <r>
    <x v="13"/>
    <m/>
    <m/>
    <m/>
    <m/>
    <m/>
    <n v="2"/>
    <n v="3"/>
    <x v="0"/>
    <s v="HAMPSHIRE"/>
    <s v="Resourced Provision - Hiltingbury Infant School"/>
    <d v="2022-09-01T00:00:00"/>
    <d v="2025-08-31T00:00:00"/>
    <x v="2"/>
    <x v="0"/>
    <s v=""/>
    <s v=""/>
    <n v="0"/>
  </r>
  <r>
    <x v="14"/>
    <m/>
    <m/>
    <m/>
    <m/>
    <m/>
    <n v="0"/>
    <n v="1"/>
    <x v="0"/>
    <s v="HAMPSHIRE"/>
    <s v="Resourced Provision - Liss Infant School"/>
    <d v="2024-09-01T00:00:00"/>
    <m/>
    <x v="3"/>
    <x v="0"/>
    <d v="2025-09-01T00:00:00"/>
    <d v="2025-12-31T00:00:00"/>
    <n v="1"/>
  </r>
  <r>
    <x v="14"/>
    <m/>
    <m/>
    <m/>
    <m/>
    <m/>
    <n v="2"/>
    <n v="3"/>
    <x v="0"/>
    <s v="HAMPSHIRE"/>
    <s v="Resourced Provision - Liss Infant School"/>
    <d v="2022-09-01T00:00:00"/>
    <m/>
    <x v="3"/>
    <x v="0"/>
    <d v="2025-09-01T00:00:00"/>
    <d v="2025-12-31T00:00:00"/>
    <n v="1"/>
  </r>
  <r>
    <x v="14"/>
    <m/>
    <m/>
    <m/>
    <m/>
    <m/>
    <n v="0"/>
    <n v="1"/>
    <x v="0"/>
    <s v="HAMPSHIRE"/>
    <s v="Resourced Provision - Liss Infant School"/>
    <d v="2024-09-01T00:00:00"/>
    <m/>
    <x v="3"/>
    <x v="0"/>
    <d v="2025-09-01T00:00:00"/>
    <d v="2025-12-31T00:00:00"/>
    <n v="1"/>
  </r>
  <r>
    <x v="14"/>
    <m/>
    <m/>
    <m/>
    <m/>
    <m/>
    <n v="2"/>
    <n v="3"/>
    <x v="0"/>
    <s v="HAMPSHIRE"/>
    <s v="Resourced Provision - Liss Infant School"/>
    <d v="2022-09-01T00:00:00"/>
    <m/>
    <x v="3"/>
    <x v="0"/>
    <d v="2025-09-01T00:00:00"/>
    <d v="2025-12-31T00:00:00"/>
    <n v="1"/>
  </r>
  <r>
    <x v="14"/>
    <m/>
    <m/>
    <m/>
    <m/>
    <m/>
    <n v="2"/>
    <n v="3"/>
    <x v="0"/>
    <s v="HAMPSHIRE"/>
    <s v="Resourced Provision - Liss Infant School"/>
    <d v="2022-09-01T00:00:00"/>
    <m/>
    <x v="3"/>
    <x v="0"/>
    <d v="2025-09-01T00:00:00"/>
    <d v="2025-12-31T00:00:00"/>
    <n v="1"/>
  </r>
  <r>
    <x v="14"/>
    <m/>
    <m/>
    <m/>
    <m/>
    <m/>
    <n v="1"/>
    <n v="2"/>
    <x v="0"/>
    <s v="HAMPSHIRE"/>
    <s v="Resourced Provision - Liss Infant School"/>
    <d v="2023-09-01T00:00:00"/>
    <m/>
    <x v="3"/>
    <x v="0"/>
    <d v="2025-09-01T00:00:00"/>
    <d v="2025-12-31T00:00:00"/>
    <n v="1"/>
  </r>
  <r>
    <x v="14"/>
    <m/>
    <m/>
    <m/>
    <m/>
    <m/>
    <n v="1"/>
    <n v="2"/>
    <x v="0"/>
    <s v="HAMPSHIRE"/>
    <s v="Resourced Provision - Liss Infant School"/>
    <d v="2023-09-01T00:00:00"/>
    <m/>
    <x v="3"/>
    <x v="0"/>
    <d v="2025-09-01T00:00:00"/>
    <d v="2025-12-31T00:00:00"/>
    <n v="1"/>
  </r>
  <r>
    <x v="15"/>
    <m/>
    <m/>
    <m/>
    <m/>
    <m/>
    <n v="1"/>
    <n v="2"/>
    <x v="0"/>
    <s v="HAMPSHIRE"/>
    <s v="Resourced Provision - Kings Copse Primary School"/>
    <d v="2025-09-01T00:00:00"/>
    <m/>
    <x v="1"/>
    <x v="1"/>
    <d v="2025-09-01T00:00:00"/>
    <d v="2025-12-31T00:00:00"/>
    <n v="1"/>
  </r>
  <r>
    <x v="15"/>
    <m/>
    <m/>
    <m/>
    <m/>
    <m/>
    <n v="5"/>
    <n v="6"/>
    <x v="0"/>
    <s v="HAMPSHIRE"/>
    <s v="Resourced Provision - Kings Copse Primary School"/>
    <d v="2019-09-11T00:00:00"/>
    <m/>
    <x v="1"/>
    <x v="1"/>
    <d v="2025-09-01T00:00:00"/>
    <d v="2025-12-31T00:00:00"/>
    <n v="1"/>
  </r>
  <r>
    <x v="15"/>
    <m/>
    <m/>
    <m/>
    <m/>
    <m/>
    <n v="2"/>
    <n v="3"/>
    <x v="0"/>
    <s v="HAMPSHIRE"/>
    <s v="Resourced Provision - Kings Copse Primary School"/>
    <d v="2022-09-01T00:00:00"/>
    <m/>
    <x v="1"/>
    <x v="0"/>
    <d v="2025-09-01T00:00:00"/>
    <d v="2025-12-31T00:00:00"/>
    <n v="1"/>
  </r>
  <r>
    <x v="15"/>
    <m/>
    <m/>
    <m/>
    <m/>
    <m/>
    <n v="3"/>
    <n v="4"/>
    <x v="0"/>
    <s v="HAMPSHIRE"/>
    <s v="Resourced Provision - Kings Copse Primary School"/>
    <d v="2025-09-01T00:00:00"/>
    <m/>
    <x v="1"/>
    <x v="1"/>
    <d v="2025-09-01T00:00:00"/>
    <d v="2025-12-31T00:00:00"/>
    <n v="1"/>
  </r>
  <r>
    <x v="15"/>
    <m/>
    <m/>
    <m/>
    <m/>
    <m/>
    <n v="-1"/>
    <n v="0"/>
    <x v="0"/>
    <s v="HAMPSHIRE"/>
    <s v="Resourced Provision - Kings Copse Primary School"/>
    <d v="2025-09-01T00:00:00"/>
    <m/>
    <x v="1"/>
    <x v="0"/>
    <d v="2025-09-01T00:00:00"/>
    <d v="2025-12-31T00:00:00"/>
    <n v="1"/>
  </r>
  <r>
    <x v="15"/>
    <m/>
    <m/>
    <m/>
    <m/>
    <m/>
    <n v="5"/>
    <n v="6"/>
    <x v="0"/>
    <s v="HAMPSHIRE"/>
    <s v="Resourced Provision - Kings Copse Primary School"/>
    <d v="2019-09-11T00:00:00"/>
    <m/>
    <x v="1"/>
    <x v="1"/>
    <d v="2025-09-01T00:00:00"/>
    <d v="2025-12-31T00:00:00"/>
    <n v="1"/>
  </r>
  <r>
    <x v="15"/>
    <m/>
    <m/>
    <m/>
    <m/>
    <m/>
    <n v="0"/>
    <n v="1"/>
    <x v="0"/>
    <s v="HAMPSHIRE"/>
    <s v="Resourced Provision - Kings Copse Primary School"/>
    <d v="2024-09-01T00:00:00"/>
    <m/>
    <x v="1"/>
    <x v="0"/>
    <d v="2025-09-01T00:00:00"/>
    <d v="2025-12-31T00:00:00"/>
    <n v="1"/>
  </r>
  <r>
    <x v="15"/>
    <m/>
    <m/>
    <m/>
    <m/>
    <m/>
    <n v="0"/>
    <n v="1"/>
    <x v="0"/>
    <s v="HAMPSHIRE"/>
    <s v="Resourced Provision - Kings Copse Primary School"/>
    <d v="2024-09-01T00:00:00"/>
    <m/>
    <x v="1"/>
    <x v="1"/>
    <d v="2025-09-01T00:00:00"/>
    <d v="2025-12-31T00:00:00"/>
    <n v="1"/>
  </r>
  <r>
    <x v="16"/>
    <m/>
    <m/>
    <m/>
    <m/>
    <m/>
    <n v="5"/>
    <n v="6"/>
    <x v="0"/>
    <s v="HAMPSHIRE"/>
    <s v="Resourced Provision - Shakespeare Junior School"/>
    <d v="2022-09-01T00:00:00"/>
    <m/>
    <x v="3"/>
    <x v="0"/>
    <d v="2025-09-01T00:00:00"/>
    <d v="2025-12-31T00:00:00"/>
    <n v="1"/>
  </r>
  <r>
    <x v="16"/>
    <m/>
    <m/>
    <m/>
    <m/>
    <m/>
    <n v="2"/>
    <n v="3"/>
    <x v="0"/>
    <s v="HAMPSHIRE"/>
    <s v="Resourced Provision - Shakespeare Junior School"/>
    <d v="2025-09-01T00:00:00"/>
    <m/>
    <x v="3"/>
    <x v="0"/>
    <d v="2025-09-01T00:00:00"/>
    <d v="2025-12-31T00:00:00"/>
    <n v="1"/>
  </r>
  <r>
    <x v="16"/>
    <m/>
    <m/>
    <m/>
    <m/>
    <m/>
    <n v="6"/>
    <n v="7"/>
    <x v="0"/>
    <s v="HAMPSHIRE"/>
    <s v="Resourced Provision - Shakespeare Junior School"/>
    <d v="2023-03-20T00:00:00"/>
    <d v="2025-08-31T00:00:00"/>
    <x v="3"/>
    <x v="0"/>
    <s v=""/>
    <s v=""/>
    <n v="0"/>
  </r>
  <r>
    <x v="16"/>
    <m/>
    <m/>
    <m/>
    <m/>
    <m/>
    <n v="6"/>
    <n v="7"/>
    <x v="0"/>
    <s v="HAMPSHIRE"/>
    <s v="Resourced Provision - Shakespeare Junior School"/>
    <d v="2022-03-01T00:00:00"/>
    <d v="2025-08-31T00:00:00"/>
    <x v="3"/>
    <x v="0"/>
    <s v=""/>
    <s v=""/>
    <n v="0"/>
  </r>
  <r>
    <x v="16"/>
    <m/>
    <m/>
    <m/>
    <m/>
    <m/>
    <n v="6"/>
    <n v="7"/>
    <x v="0"/>
    <s v="HAMPSHIRE"/>
    <s v="Resourced Provision - Shakespeare Junior School"/>
    <d v="2021-09-01T00:00:00"/>
    <d v="2025-08-31T00:00:00"/>
    <x v="3"/>
    <x v="0"/>
    <s v=""/>
    <s v=""/>
    <n v="0"/>
  </r>
  <r>
    <x v="16"/>
    <m/>
    <m/>
    <m/>
    <m/>
    <m/>
    <n v="5"/>
    <n v="6"/>
    <x v="0"/>
    <s v="HAMPSHIRE"/>
    <s v="Resourced Provision - Shakespeare Junior School"/>
    <d v="2022-09-01T00:00:00"/>
    <m/>
    <x v="3"/>
    <x v="0"/>
    <d v="2025-09-01T00:00:00"/>
    <d v="2025-12-31T00:00:00"/>
    <n v="1"/>
  </r>
  <r>
    <x v="16"/>
    <m/>
    <m/>
    <m/>
    <m/>
    <m/>
    <n v="4"/>
    <n v="5"/>
    <x v="0"/>
    <s v="HAMPSHIRE"/>
    <s v="Resourced Provision - Shakespeare Junior School"/>
    <d v="2023-09-01T00:00:00"/>
    <m/>
    <x v="3"/>
    <x v="0"/>
    <d v="2025-09-01T00:00:00"/>
    <d v="2025-12-31T00:00:00"/>
    <n v="1"/>
  </r>
  <r>
    <x v="16"/>
    <m/>
    <m/>
    <m/>
    <m/>
    <m/>
    <n v="4"/>
    <n v="5"/>
    <x v="0"/>
    <s v="HAMPSHIRE"/>
    <s v="Resourced Provision - Shakespeare Junior School"/>
    <d v="2023-09-01T00:00:00"/>
    <m/>
    <x v="3"/>
    <x v="0"/>
    <d v="2025-09-01T00:00:00"/>
    <d v="2025-12-31T00:00:00"/>
    <n v="1"/>
  </r>
  <r>
    <x v="16"/>
    <m/>
    <m/>
    <m/>
    <m/>
    <m/>
    <n v="4"/>
    <n v="5"/>
    <x v="0"/>
    <s v="HAMPSHIRE"/>
    <s v="Resourced Provision - Shakespeare Junior School"/>
    <d v="2025-09-01T00:00:00"/>
    <m/>
    <x v="3"/>
    <x v="0"/>
    <d v="2025-09-01T00:00:00"/>
    <d v="2025-12-31T00:00:00"/>
    <n v="1"/>
  </r>
  <r>
    <x v="16"/>
    <m/>
    <m/>
    <m/>
    <m/>
    <m/>
    <n v="2"/>
    <n v="3"/>
    <x v="0"/>
    <s v="HAMPSHIRE"/>
    <s v="Resourced Provision - Shakespeare Junior School"/>
    <d v="2025-09-01T00:00:00"/>
    <m/>
    <x v="3"/>
    <x v="0"/>
    <d v="2025-09-01T00:00:00"/>
    <d v="2025-12-31T00:00:00"/>
    <n v="1"/>
  </r>
  <r>
    <x v="16"/>
    <m/>
    <m/>
    <m/>
    <m/>
    <m/>
    <n v="5"/>
    <n v="6"/>
    <x v="0"/>
    <s v="HAMPSHIRE"/>
    <s v="Resourced Provision - Shakespeare Junior School"/>
    <d v="2022-09-01T00:00:00"/>
    <m/>
    <x v="3"/>
    <x v="0"/>
    <d v="2025-09-01T00:00:00"/>
    <d v="2025-12-31T00:00:00"/>
    <n v="1"/>
  </r>
  <r>
    <x v="16"/>
    <m/>
    <m/>
    <m/>
    <m/>
    <m/>
    <n v="3"/>
    <n v="4"/>
    <x v="0"/>
    <s v="HAMPSHIRE"/>
    <s v="Resourced Provision - Shakespeare Junior School"/>
    <d v="2024-09-01T00:00:00"/>
    <m/>
    <x v="3"/>
    <x v="0"/>
    <d v="2025-09-01T00:00:00"/>
    <d v="2025-12-31T00:00:00"/>
    <n v="1"/>
  </r>
  <r>
    <x v="16"/>
    <m/>
    <m/>
    <m/>
    <m/>
    <m/>
    <n v="4"/>
    <n v="5"/>
    <x v="0"/>
    <s v="HAMPSHIRE"/>
    <s v="Resourced Provision - Shakespeare Junior School"/>
    <d v="2023-09-01T00:00:00"/>
    <m/>
    <x v="3"/>
    <x v="0"/>
    <d v="2025-09-01T00:00:00"/>
    <d v="2025-12-31T00:00:00"/>
    <n v="1"/>
  </r>
  <r>
    <x v="17"/>
    <m/>
    <m/>
    <m/>
    <m/>
    <m/>
    <n v="-1"/>
    <n v="0"/>
    <x v="0"/>
    <s v="HAMPSHIRE"/>
    <s v="Resourced Provision - Manor Junior School"/>
    <d v="2025-09-01T00:00:00"/>
    <m/>
    <x v="6"/>
    <x v="2"/>
    <d v="2025-09-01T00:00:00"/>
    <d v="2025-12-31T00:00:00"/>
    <n v="1"/>
  </r>
  <r>
    <x v="17"/>
    <m/>
    <m/>
    <m/>
    <m/>
    <m/>
    <n v="2"/>
    <n v="3"/>
    <x v="0"/>
    <s v="HAMPSHIRE"/>
    <s v="Resourced Provision - Manor Junior School"/>
    <d v="2025-09-01T00:00:00"/>
    <m/>
    <x v="6"/>
    <x v="2"/>
    <d v="2025-09-01T00:00:00"/>
    <d v="2025-12-31T00:00:00"/>
    <n v="1"/>
  </r>
  <r>
    <x v="17"/>
    <m/>
    <m/>
    <m/>
    <m/>
    <m/>
    <n v="5"/>
    <n v="6"/>
    <x v="0"/>
    <s v="HAMPSHIRE"/>
    <s v="Resourced Provision - Manor Junior School"/>
    <d v="2022-09-01T00:00:00"/>
    <m/>
    <x v="6"/>
    <x v="2"/>
    <d v="2025-09-01T00:00:00"/>
    <d v="2025-12-31T00:00:00"/>
    <n v="1"/>
  </r>
  <r>
    <x v="18"/>
    <m/>
    <m/>
    <m/>
    <m/>
    <m/>
    <n v="5"/>
    <n v="6"/>
    <x v="0"/>
    <s v="HAMPSHIRE"/>
    <s v="Resourced Provision - South Farnborough Junior"/>
    <d v="2024-09-01T00:00:00"/>
    <m/>
    <x v="3"/>
    <x v="0"/>
    <d v="2025-09-01T00:00:00"/>
    <d v="2025-12-31T00:00:00"/>
    <n v="1"/>
  </r>
  <r>
    <x v="18"/>
    <m/>
    <m/>
    <m/>
    <m/>
    <m/>
    <n v="3"/>
    <n v="4"/>
    <x v="0"/>
    <s v="HAMPSHIRE"/>
    <s v="Resourced Provision - South Farnborough Junior"/>
    <d v="2024-09-01T00:00:00"/>
    <m/>
    <x v="3"/>
    <x v="0"/>
    <d v="2025-09-01T00:00:00"/>
    <d v="2025-12-31T00:00:00"/>
    <n v="1"/>
  </r>
  <r>
    <x v="18"/>
    <m/>
    <m/>
    <m/>
    <m/>
    <m/>
    <n v="5"/>
    <n v="6"/>
    <x v="0"/>
    <s v="HAMPSHIRE"/>
    <s v="Resourced Provision - South Farnborough Junior"/>
    <d v="2025-01-28T00:00:00"/>
    <m/>
    <x v="3"/>
    <x v="0"/>
    <d v="2025-09-01T00:00:00"/>
    <d v="2025-12-31T00:00:00"/>
    <n v="1"/>
  </r>
  <r>
    <x v="18"/>
    <m/>
    <m/>
    <m/>
    <m/>
    <m/>
    <n v="2"/>
    <n v="3"/>
    <x v="0"/>
    <s v="HAMPSHIRE"/>
    <s v="Resourced Provision - South Farnborough Junior"/>
    <d v="2025-09-01T00:00:00"/>
    <m/>
    <x v="3"/>
    <x v="0"/>
    <d v="2025-09-01T00:00:00"/>
    <d v="2025-12-31T00:00:00"/>
    <n v="1"/>
  </r>
  <r>
    <x v="18"/>
    <m/>
    <m/>
    <m/>
    <m/>
    <m/>
    <n v="3"/>
    <n v="4"/>
    <x v="0"/>
    <s v="HAMPSHIRE"/>
    <s v="Resourced Provision - South Farnborough Junior"/>
    <d v="2024-09-01T00:00:00"/>
    <m/>
    <x v="3"/>
    <x v="0"/>
    <d v="2025-09-01T00:00:00"/>
    <d v="2025-12-31T00:00:00"/>
    <n v="1"/>
  </r>
  <r>
    <x v="18"/>
    <m/>
    <m/>
    <m/>
    <m/>
    <m/>
    <n v="6"/>
    <n v="7"/>
    <x v="0"/>
    <s v="HAMPSHIRE"/>
    <s v="Resourced Provision - South Farnborough Junior"/>
    <d v="2021-09-01T00:00:00"/>
    <d v="2025-08-31T00:00:00"/>
    <x v="3"/>
    <x v="0"/>
    <s v=""/>
    <s v=""/>
    <n v="0"/>
  </r>
  <r>
    <x v="18"/>
    <m/>
    <m/>
    <m/>
    <m/>
    <m/>
    <n v="4"/>
    <n v="5"/>
    <x v="0"/>
    <s v="HAMPSHIRE"/>
    <s v="Resourced Provision - South Farnborough Junior"/>
    <d v="2023-09-01T00:00:00"/>
    <m/>
    <x v="3"/>
    <x v="0"/>
    <d v="2025-09-01T00:00:00"/>
    <d v="2025-12-31T00:00:00"/>
    <n v="1"/>
  </r>
  <r>
    <x v="18"/>
    <m/>
    <m/>
    <m/>
    <m/>
    <m/>
    <n v="5"/>
    <n v="6"/>
    <x v="0"/>
    <s v="HAMPSHIRE"/>
    <s v="Resourced Provision - South Farnborough Junior"/>
    <d v="2022-09-01T00:00:00"/>
    <m/>
    <x v="3"/>
    <x v="0"/>
    <d v="2025-09-01T00:00:00"/>
    <d v="2025-12-31T00:00:00"/>
    <n v="1"/>
  </r>
  <r>
    <x v="18"/>
    <m/>
    <m/>
    <m/>
    <m/>
    <m/>
    <n v="3"/>
    <n v="4"/>
    <x v="0"/>
    <s v="HAMPSHIRE"/>
    <s v="Resourced Provision - South Farnborough Junior"/>
    <d v="2024-09-01T00:00:00"/>
    <m/>
    <x v="3"/>
    <x v="0"/>
    <d v="2025-09-01T00:00:00"/>
    <d v="2025-12-31T00:00:00"/>
    <n v="1"/>
  </r>
  <r>
    <x v="18"/>
    <m/>
    <m/>
    <m/>
    <m/>
    <m/>
    <n v="3"/>
    <n v="4"/>
    <x v="0"/>
    <s v="HAMPSHIRE"/>
    <s v="Resourced Provision - South Farnborough Junior"/>
    <d v="2024-09-01T00:00:00"/>
    <m/>
    <x v="3"/>
    <x v="0"/>
    <d v="2025-09-01T00:00:00"/>
    <d v="2025-12-31T00:00:00"/>
    <n v="1"/>
  </r>
  <r>
    <x v="18"/>
    <m/>
    <m/>
    <m/>
    <m/>
    <m/>
    <n v="4"/>
    <n v="5"/>
    <x v="0"/>
    <s v="HAMPSHIRE"/>
    <s v="Resourced Provision - South Farnborough Junior"/>
    <d v="2023-09-01T00:00:00"/>
    <m/>
    <x v="3"/>
    <x v="0"/>
    <d v="2025-09-01T00:00:00"/>
    <d v="2025-12-31T00:00:00"/>
    <n v="1"/>
  </r>
  <r>
    <x v="18"/>
    <m/>
    <m/>
    <m/>
    <m/>
    <m/>
    <n v="4"/>
    <n v="5"/>
    <x v="0"/>
    <s v="HAMPSHIRE"/>
    <s v="Resourced Provision - South Farnborough Junior"/>
    <d v="2023-09-01T00:00:00"/>
    <m/>
    <x v="3"/>
    <x v="0"/>
    <d v="2025-09-01T00:00:00"/>
    <d v="2025-12-31T00:00:00"/>
    <n v="1"/>
  </r>
  <r>
    <x v="18"/>
    <m/>
    <m/>
    <m/>
    <m/>
    <m/>
    <n v="4"/>
    <n v="5"/>
    <x v="0"/>
    <s v="HAMPSHIRE"/>
    <s v="Resourced Provision - South Farnborough Junior"/>
    <d v="2023-09-01T00:00:00"/>
    <m/>
    <x v="3"/>
    <x v="0"/>
    <d v="2025-09-01T00:00:00"/>
    <d v="2025-12-31T00:00:00"/>
    <n v="1"/>
  </r>
  <r>
    <x v="18"/>
    <m/>
    <m/>
    <m/>
    <m/>
    <m/>
    <n v="3"/>
    <n v="4"/>
    <x v="0"/>
    <s v="HAMPSHIRE"/>
    <s v="Resourced Provision - South Farnborough Junior"/>
    <d v="2024-09-01T00:00:00"/>
    <m/>
    <x v="3"/>
    <x v="0"/>
    <d v="2025-09-01T00:00:00"/>
    <d v="2025-12-31T00:00:00"/>
    <n v="1"/>
  </r>
  <r>
    <x v="18"/>
    <m/>
    <m/>
    <m/>
    <m/>
    <m/>
    <n v="4"/>
    <n v="5"/>
    <x v="0"/>
    <s v="HAMPSHIRE"/>
    <s v="Resourced Provision - South Farnborough Junior"/>
    <d v="2024-03-25T00:00:00"/>
    <m/>
    <x v="3"/>
    <x v="0"/>
    <d v="2025-09-01T00:00:00"/>
    <d v="2025-12-31T00:00:00"/>
    <n v="1"/>
  </r>
  <r>
    <x v="18"/>
    <m/>
    <m/>
    <m/>
    <m/>
    <m/>
    <n v="5"/>
    <n v="6"/>
    <x v="0"/>
    <s v="HAMPSHIRE"/>
    <s v="Resourced Provision - South Farnborough Junior"/>
    <d v="2022-09-01T00:00:00"/>
    <m/>
    <x v="3"/>
    <x v="0"/>
    <d v="2025-09-01T00:00:00"/>
    <d v="2025-12-31T00:00:00"/>
    <n v="1"/>
  </r>
  <r>
    <x v="18"/>
    <m/>
    <m/>
    <m/>
    <m/>
    <m/>
    <n v="5"/>
    <n v="6"/>
    <x v="0"/>
    <s v="HAMPSHIRE"/>
    <s v="Resourced Provision - South Farnborough Junior"/>
    <d v="2022-10-01T00:00:00"/>
    <m/>
    <x v="3"/>
    <x v="0"/>
    <d v="2025-09-01T00:00:00"/>
    <d v="2025-12-31T00:00:00"/>
    <n v="1"/>
  </r>
  <r>
    <x v="18"/>
    <m/>
    <m/>
    <m/>
    <m/>
    <m/>
    <n v="6"/>
    <n v="7"/>
    <x v="0"/>
    <s v="HAMPSHIRE"/>
    <s v="Resourced Provision - South Farnborough Junior"/>
    <d v="2024-09-01T00:00:00"/>
    <d v="2025-08-31T00:00:00"/>
    <x v="3"/>
    <x v="0"/>
    <s v=""/>
    <s v=""/>
    <n v="0"/>
  </r>
  <r>
    <x v="18"/>
    <m/>
    <m/>
    <m/>
    <m/>
    <m/>
    <n v="3"/>
    <n v="4"/>
    <x v="0"/>
    <s v="HAMPSHIRE"/>
    <s v="Resourced Provision - South Farnborough Junior"/>
    <d v="2024-09-01T00:00:00"/>
    <m/>
    <x v="3"/>
    <x v="0"/>
    <d v="2025-09-01T00:00:00"/>
    <d v="2025-12-31T00:00:00"/>
    <n v="1"/>
  </r>
  <r>
    <x v="18"/>
    <m/>
    <m/>
    <m/>
    <m/>
    <m/>
    <n v="4"/>
    <n v="5"/>
    <x v="0"/>
    <s v="HAMPSHIRE"/>
    <s v="Resourced Provision - South Farnborough Junior"/>
    <d v="2023-09-01T00:00:00"/>
    <m/>
    <x v="3"/>
    <x v="0"/>
    <d v="2025-09-01T00:00:00"/>
    <d v="2025-12-31T00:00:00"/>
    <n v="1"/>
  </r>
  <r>
    <x v="18"/>
    <m/>
    <m/>
    <m/>
    <m/>
    <m/>
    <n v="3"/>
    <n v="4"/>
    <x v="0"/>
    <s v="HAMPSHIRE"/>
    <s v="Resourced Provision - South Farnborough Junior"/>
    <d v="2024-09-01T00:00:00"/>
    <m/>
    <x v="3"/>
    <x v="0"/>
    <d v="2025-09-01T00:00:00"/>
    <d v="2025-12-31T00:00:00"/>
    <n v="1"/>
  </r>
  <r>
    <x v="18"/>
    <m/>
    <m/>
    <m/>
    <m/>
    <m/>
    <n v="6"/>
    <n v="7"/>
    <x v="0"/>
    <s v="HAMPSHIRE"/>
    <s v="Resourced Provision - South Farnborough Junior"/>
    <d v="2023-01-01T00:00:00"/>
    <d v="2025-08-31T00:00:00"/>
    <x v="3"/>
    <x v="0"/>
    <s v=""/>
    <s v=""/>
    <n v="0"/>
  </r>
  <r>
    <x v="19"/>
    <m/>
    <m/>
    <m/>
    <m/>
    <m/>
    <n v="6"/>
    <n v="7"/>
    <x v="0"/>
    <s v="HAMPSHIRE"/>
    <s v="Resourced Provision - Guillemont Junior School"/>
    <d v="2021-09-01T00:00:00"/>
    <d v="2025-08-31T00:00:00"/>
    <x v="2"/>
    <x v="0"/>
    <s v=""/>
    <s v=""/>
    <n v="0"/>
  </r>
  <r>
    <x v="19"/>
    <m/>
    <m/>
    <m/>
    <m/>
    <m/>
    <n v="5"/>
    <n v="6"/>
    <x v="0"/>
    <s v="HAMPSHIRE"/>
    <s v="Resourced Provision - Guillemont Junior School"/>
    <d v="2024-09-01T00:00:00"/>
    <m/>
    <x v="2"/>
    <x v="0"/>
    <d v="2025-09-01T00:00:00"/>
    <d v="2025-12-31T00:00:00"/>
    <n v="1"/>
  </r>
  <r>
    <x v="19"/>
    <m/>
    <m/>
    <m/>
    <m/>
    <m/>
    <n v="3"/>
    <n v="4"/>
    <x v="0"/>
    <s v="HAMPSHIRE"/>
    <s v="Resourced Provision - Guillemont Junior School"/>
    <d v="2024-09-01T00:00:00"/>
    <m/>
    <x v="2"/>
    <x v="0"/>
    <d v="2025-09-01T00:00:00"/>
    <d v="2025-12-31T00:00:00"/>
    <n v="1"/>
  </r>
  <r>
    <x v="19"/>
    <m/>
    <m/>
    <m/>
    <m/>
    <m/>
    <n v="4"/>
    <n v="5"/>
    <x v="0"/>
    <s v="HAMPSHIRE"/>
    <s v="Resourced Provision - Guillemont Junior School"/>
    <d v="2023-09-01T00:00:00"/>
    <d v="2025-08-31T00:00:00"/>
    <x v="2"/>
    <x v="0"/>
    <s v=""/>
    <s v=""/>
    <n v="0"/>
  </r>
  <r>
    <x v="19"/>
    <m/>
    <m/>
    <m/>
    <m/>
    <m/>
    <n v="3"/>
    <n v="4"/>
    <x v="0"/>
    <s v="HAMPSHIRE"/>
    <s v="Resourced Provision - Guillemont Junior School"/>
    <d v="2024-09-01T00:00:00"/>
    <m/>
    <x v="4"/>
    <x v="0"/>
    <d v="2025-09-01T00:00:00"/>
    <d v="2025-12-31T00:00:00"/>
    <n v="1"/>
  </r>
  <r>
    <x v="19"/>
    <m/>
    <m/>
    <m/>
    <m/>
    <m/>
    <n v="6"/>
    <n v="7"/>
    <x v="0"/>
    <s v="HAMPSHIRE"/>
    <s v="Resourced Provision - Guillemont Junior School"/>
    <d v="2021-09-01T00:00:00"/>
    <d v="2025-08-31T00:00:00"/>
    <x v="2"/>
    <x v="0"/>
    <s v=""/>
    <s v=""/>
    <n v="0"/>
  </r>
  <r>
    <x v="19"/>
    <m/>
    <m/>
    <m/>
    <m/>
    <m/>
    <n v="5"/>
    <n v="6"/>
    <x v="0"/>
    <s v="HAMPSHIRE"/>
    <s v="Resourced Provision - Guillemont Junior School"/>
    <d v="2022-09-01T00:00:00"/>
    <m/>
    <x v="2"/>
    <x v="0"/>
    <d v="2025-09-01T00:00:00"/>
    <d v="2025-12-31T00:00:00"/>
    <n v="1"/>
  </r>
  <r>
    <x v="19"/>
    <m/>
    <m/>
    <m/>
    <m/>
    <m/>
    <n v="5"/>
    <n v="6"/>
    <x v="0"/>
    <s v="HAMPSHIRE"/>
    <s v="Resourced Provision - Guillemont Junior School"/>
    <d v="2022-09-01T00:00:00"/>
    <m/>
    <x v="2"/>
    <x v="0"/>
    <d v="2025-09-01T00:00:00"/>
    <d v="2025-12-31T00:00:00"/>
    <n v="1"/>
  </r>
  <r>
    <x v="19"/>
    <m/>
    <m/>
    <m/>
    <m/>
    <m/>
    <n v="4"/>
    <n v="5"/>
    <x v="0"/>
    <s v="HAMPSHIRE"/>
    <s v="Resourced Provision - Guillemont Junior School"/>
    <d v="2024-09-01T00:00:00"/>
    <m/>
    <x v="2"/>
    <x v="0"/>
    <d v="2025-09-01T00:00:00"/>
    <d v="2025-12-31T00:00:00"/>
    <n v="1"/>
  </r>
  <r>
    <x v="19"/>
    <m/>
    <m/>
    <m/>
    <m/>
    <m/>
    <n v="5"/>
    <n v="6"/>
    <x v="0"/>
    <s v="HAMPSHIRE"/>
    <s v="Resourced Provision - Guillemont Junior School"/>
    <d v="2022-09-01T00:00:00"/>
    <m/>
    <x v="2"/>
    <x v="0"/>
    <d v="2025-09-01T00:00:00"/>
    <d v="2025-12-31T00:00:00"/>
    <n v="1"/>
  </r>
  <r>
    <x v="19"/>
    <m/>
    <m/>
    <m/>
    <m/>
    <m/>
    <n v="4"/>
    <n v="5"/>
    <x v="0"/>
    <s v="HAMPSHIRE"/>
    <s v="Resourced Provision - Guillemont Junior School"/>
    <d v="2023-09-01T00:00:00"/>
    <m/>
    <x v="2"/>
    <x v="0"/>
    <d v="2025-09-01T00:00:00"/>
    <d v="2025-12-31T00:00:00"/>
    <n v="1"/>
  </r>
  <r>
    <x v="19"/>
    <m/>
    <m/>
    <m/>
    <m/>
    <m/>
    <n v="6"/>
    <n v="7"/>
    <x v="0"/>
    <s v="HAMPSHIRE"/>
    <s v="Resourced Provision - Guillemont Junior School"/>
    <d v="2021-09-01T00:00:00"/>
    <d v="2025-08-31T00:00:00"/>
    <x v="2"/>
    <x v="0"/>
    <s v=""/>
    <s v=""/>
    <n v="0"/>
  </r>
  <r>
    <x v="19"/>
    <m/>
    <m/>
    <m/>
    <m/>
    <m/>
    <n v="4"/>
    <n v="5"/>
    <x v="0"/>
    <s v="HAMPSHIRE"/>
    <s v="Resourced Provision - Guillemont Junior School"/>
    <d v="2024-09-01T00:00:00"/>
    <m/>
    <x v="4"/>
    <x v="0"/>
    <d v="2025-09-01T00:00:00"/>
    <d v="2025-12-31T00:00:00"/>
    <n v="1"/>
  </r>
  <r>
    <x v="19"/>
    <m/>
    <m/>
    <m/>
    <m/>
    <m/>
    <n v="6"/>
    <n v="7"/>
    <x v="0"/>
    <s v="HAMPSHIRE"/>
    <s v="Resourced Provision - Guillemont Junior School"/>
    <d v="2021-09-01T00:00:00"/>
    <d v="2025-08-31T00:00:00"/>
    <x v="2"/>
    <x v="0"/>
    <s v=""/>
    <s v=""/>
    <n v="0"/>
  </r>
  <r>
    <x v="19"/>
    <m/>
    <m/>
    <m/>
    <m/>
    <m/>
    <n v="4"/>
    <n v="5"/>
    <x v="0"/>
    <s v="HAMPSHIRE"/>
    <s v="Resourced Provision - Guillemont Junior School"/>
    <d v="2024-09-01T00:00:00"/>
    <m/>
    <x v="4"/>
    <x v="0"/>
    <d v="2025-09-01T00:00:00"/>
    <d v="2025-12-31T00:00:00"/>
    <n v="1"/>
  </r>
  <r>
    <x v="19"/>
    <m/>
    <m/>
    <m/>
    <m/>
    <m/>
    <n v="4"/>
    <n v="5"/>
    <x v="0"/>
    <s v="HAMPSHIRE"/>
    <s v="Resourced Provision - Guillemont Junior School"/>
    <d v="2023-09-01T00:00:00"/>
    <m/>
    <x v="2"/>
    <x v="0"/>
    <d v="2025-09-01T00:00:00"/>
    <d v="2025-12-31T00:00:00"/>
    <n v="1"/>
  </r>
  <r>
    <x v="19"/>
    <m/>
    <m/>
    <m/>
    <m/>
    <m/>
    <n v="2"/>
    <n v="3"/>
    <x v="0"/>
    <s v="HAMPSHIRE"/>
    <s v="Resourced Provision - Guillemont Junior School"/>
    <d v="2025-04-29T00:00:00"/>
    <m/>
    <x v="4"/>
    <x v="0"/>
    <d v="2025-09-01T00:00:00"/>
    <d v="2025-12-31T00:00:00"/>
    <n v="1"/>
  </r>
  <r>
    <x v="19"/>
    <m/>
    <m/>
    <m/>
    <m/>
    <m/>
    <n v="6"/>
    <n v="7"/>
    <x v="0"/>
    <s v="HAMPSHIRE"/>
    <s v="Resourced Provision - Guillemont Junior School"/>
    <d v="2024-09-01T00:00:00"/>
    <d v="2025-08-31T00:00:00"/>
    <x v="2"/>
    <x v="0"/>
    <s v=""/>
    <s v=""/>
    <n v="0"/>
  </r>
  <r>
    <x v="19"/>
    <m/>
    <m/>
    <m/>
    <m/>
    <m/>
    <n v="6"/>
    <n v="7"/>
    <x v="0"/>
    <s v="HAMPSHIRE"/>
    <s v="Resourced Provision - Guillemont Junior School"/>
    <d v="2021-09-01T00:00:00"/>
    <d v="2025-08-31T00:00:00"/>
    <x v="2"/>
    <x v="0"/>
    <s v=""/>
    <s v=""/>
    <n v="0"/>
  </r>
  <r>
    <x v="19"/>
    <m/>
    <m/>
    <m/>
    <m/>
    <m/>
    <n v="3"/>
    <n v="4"/>
    <x v="0"/>
    <s v="HAMPSHIRE"/>
    <s v="Resourced Provision - Guillemont Junior School"/>
    <d v="2024-09-01T00:00:00"/>
    <m/>
    <x v="2"/>
    <x v="0"/>
    <d v="2025-09-01T00:00:00"/>
    <d v="2025-12-31T00:00:00"/>
    <n v="1"/>
  </r>
  <r>
    <x v="19"/>
    <m/>
    <m/>
    <m/>
    <m/>
    <m/>
    <n v="6"/>
    <n v="7"/>
    <x v="0"/>
    <s v="HAMPSHIRE"/>
    <s v="Resourced Provision - Guillemont Junior School"/>
    <d v="2021-09-01T00:00:00"/>
    <d v="2025-08-31T00:00:00"/>
    <x v="2"/>
    <x v="0"/>
    <s v=""/>
    <s v=""/>
    <n v="0"/>
  </r>
  <r>
    <x v="19"/>
    <m/>
    <m/>
    <m/>
    <m/>
    <m/>
    <n v="3"/>
    <n v="4"/>
    <x v="0"/>
    <s v="HAMPSHIRE"/>
    <s v="Resourced Provision - Guillemont Junior School"/>
    <d v="2024-09-01T00:00:00"/>
    <m/>
    <x v="4"/>
    <x v="0"/>
    <d v="2025-09-01T00:00:00"/>
    <d v="2025-12-31T00:00:00"/>
    <n v="1"/>
  </r>
  <r>
    <x v="20"/>
    <m/>
    <m/>
    <m/>
    <m/>
    <m/>
    <n v="1"/>
    <n v="2"/>
    <x v="0"/>
    <s v="HAMPSHIRE"/>
    <s v="Resourced Provision (SLCN) - Pinewood Infant School"/>
    <d v="2024-09-01T00:00:00"/>
    <m/>
    <x v="4"/>
    <x v="0"/>
    <d v="2025-09-01T00:00:00"/>
    <d v="2025-12-31T00:00:00"/>
    <n v="1"/>
  </r>
  <r>
    <x v="20"/>
    <m/>
    <m/>
    <m/>
    <m/>
    <m/>
    <n v="1"/>
    <n v="2"/>
    <x v="0"/>
    <s v="HAMPSHIRE"/>
    <s v="Resourced Provision (ASC) - Pinewood Infant School"/>
    <d v="2023-09-01T00:00:00"/>
    <d v="2025-08-31T00:00:00"/>
    <x v="4"/>
    <x v="0"/>
    <s v=""/>
    <s v=""/>
    <n v="0"/>
  </r>
  <r>
    <x v="20"/>
    <m/>
    <m/>
    <m/>
    <m/>
    <m/>
    <n v="1"/>
    <n v="2"/>
    <x v="0"/>
    <s v="HAMPSHIRE"/>
    <s v="Resourced Provision (SLCN) - Pinewood Infant School"/>
    <d v="2023-09-01T00:00:00"/>
    <m/>
    <x v="2"/>
    <x v="0"/>
    <d v="2025-09-01T00:00:00"/>
    <d v="2025-12-31T00:00:00"/>
    <n v="1"/>
  </r>
  <r>
    <x v="20"/>
    <m/>
    <m/>
    <m/>
    <m/>
    <m/>
    <n v="0"/>
    <n v="1"/>
    <x v="0"/>
    <s v="HAMPSHIRE"/>
    <s v="Resourced Provision (SLCN) - Pinewood Infant School"/>
    <d v="2024-09-01T00:00:00"/>
    <m/>
    <x v="2"/>
    <x v="0"/>
    <d v="2025-09-01T00:00:00"/>
    <d v="2025-12-31T00:00:00"/>
    <n v="1"/>
  </r>
  <r>
    <x v="20"/>
    <m/>
    <m/>
    <m/>
    <m/>
    <m/>
    <n v="1"/>
    <n v="2"/>
    <x v="0"/>
    <s v="HAMPSHIRE"/>
    <s v="Resourced Provision (ASC) - Pinewood Infant School"/>
    <d v="2023-09-01T00:00:00"/>
    <m/>
    <x v="4"/>
    <x v="0"/>
    <d v="2025-09-01T00:00:00"/>
    <d v="2025-12-31T00:00:00"/>
    <n v="1"/>
  </r>
  <r>
    <x v="20"/>
    <m/>
    <m/>
    <m/>
    <m/>
    <m/>
    <n v="2"/>
    <n v="3"/>
    <x v="0"/>
    <s v="HAMPSHIRE"/>
    <s v="Resourced Provision (SLCN) - Pinewood Infant School"/>
    <d v="2022-09-01T00:00:00"/>
    <d v="2025-08-31T00:00:00"/>
    <x v="2"/>
    <x v="0"/>
    <s v=""/>
    <s v=""/>
    <n v="0"/>
  </r>
  <r>
    <x v="20"/>
    <m/>
    <m/>
    <m/>
    <m/>
    <m/>
    <n v="1"/>
    <n v="2"/>
    <x v="0"/>
    <s v="HAMPSHIRE"/>
    <s v="Resourced Provision (SLCN) - Pinewood Infant School"/>
    <d v="2023-10-02T00:00:00"/>
    <m/>
    <x v="2"/>
    <x v="0"/>
    <d v="2025-09-01T00:00:00"/>
    <d v="2025-12-31T00:00:00"/>
    <n v="1"/>
  </r>
  <r>
    <x v="20"/>
    <m/>
    <m/>
    <m/>
    <m/>
    <m/>
    <n v="1"/>
    <n v="2"/>
    <x v="0"/>
    <s v="HAMPSHIRE"/>
    <s v="Resourced Provision (SLCN) - Pinewood Infant School"/>
    <d v="2024-09-01T00:00:00"/>
    <m/>
    <x v="4"/>
    <x v="0"/>
    <d v="2025-09-01T00:00:00"/>
    <d v="2025-12-31T00:00:00"/>
    <n v="1"/>
  </r>
  <r>
    <x v="20"/>
    <m/>
    <m/>
    <m/>
    <m/>
    <m/>
    <n v="1"/>
    <n v="2"/>
    <x v="0"/>
    <s v="HAMPSHIRE"/>
    <s v="Resourced Provision (SLCN) - Pinewood Infant School"/>
    <d v="2023-09-01T00:00:00"/>
    <m/>
    <x v="2"/>
    <x v="0"/>
    <d v="2025-09-01T00:00:00"/>
    <d v="2025-12-31T00:00:00"/>
    <n v="1"/>
  </r>
  <r>
    <x v="20"/>
    <m/>
    <m/>
    <m/>
    <m/>
    <m/>
    <n v="2"/>
    <n v="3"/>
    <x v="0"/>
    <s v="HAMPSHIRE"/>
    <s v="Resourced Provision (ASC) - Pinewood Infant School"/>
    <d v="2022-10-31T00:00:00"/>
    <d v="2025-08-31T00:00:00"/>
    <x v="4"/>
    <x v="0"/>
    <s v=""/>
    <s v=""/>
    <n v="0"/>
  </r>
  <r>
    <x v="20"/>
    <m/>
    <m/>
    <m/>
    <m/>
    <m/>
    <n v="2"/>
    <n v="3"/>
    <x v="0"/>
    <s v="HAMPSHIRE"/>
    <s v="Resourced Provision (SLCN) - Pinewood Infant School"/>
    <d v="2022-09-01T00:00:00"/>
    <d v="2025-08-31T00:00:00"/>
    <x v="2"/>
    <x v="0"/>
    <s v=""/>
    <s v=""/>
    <n v="0"/>
  </r>
  <r>
    <x v="20"/>
    <m/>
    <m/>
    <m/>
    <m/>
    <m/>
    <n v="2"/>
    <n v="3"/>
    <x v="0"/>
    <s v="HAMPSHIRE"/>
    <s v="Resourced Provision (ASC) - Pinewood Infant School"/>
    <d v="2023-09-01T00:00:00"/>
    <d v="2025-08-31T00:00:00"/>
    <x v="4"/>
    <x v="0"/>
    <s v=""/>
    <s v=""/>
    <n v="0"/>
  </r>
  <r>
    <x v="20"/>
    <m/>
    <m/>
    <m/>
    <m/>
    <m/>
    <n v="1"/>
    <n v="2"/>
    <x v="0"/>
    <s v="HAMPSHIRE"/>
    <s v="Resourced Provision (SLCN) - Pinewood Infant School"/>
    <d v="2024-01-08T00:00:00"/>
    <m/>
    <x v="2"/>
    <x v="0"/>
    <d v="2025-09-01T00:00:00"/>
    <d v="2025-12-31T00:00:00"/>
    <n v="1"/>
  </r>
  <r>
    <x v="20"/>
    <m/>
    <m/>
    <m/>
    <m/>
    <m/>
    <n v="1"/>
    <n v="2"/>
    <x v="0"/>
    <s v="HAMPSHIRE"/>
    <s v="Resourced Provision (SLCN) - Pinewood Infant School"/>
    <d v="2024-09-01T00:00:00"/>
    <m/>
    <x v="2"/>
    <x v="0"/>
    <d v="2025-09-01T00:00:00"/>
    <d v="2025-12-31T00:00:00"/>
    <n v="1"/>
  </r>
  <r>
    <x v="20"/>
    <m/>
    <m/>
    <m/>
    <m/>
    <m/>
    <n v="1"/>
    <n v="2"/>
    <x v="0"/>
    <s v="HAMPSHIRE"/>
    <s v="Resourced Provision (SLCN) - Pinewood Infant School"/>
    <d v="2023-09-01T00:00:00"/>
    <m/>
    <x v="2"/>
    <x v="0"/>
    <d v="2025-09-01T00:00:00"/>
    <d v="2025-12-31T00:00:00"/>
    <n v="1"/>
  </r>
  <r>
    <x v="20"/>
    <m/>
    <m/>
    <m/>
    <m/>
    <m/>
    <n v="1"/>
    <n v="2"/>
    <x v="0"/>
    <s v="HAMPSHIRE"/>
    <s v="Resourced Provision (ASC) - Pinewood Infant School"/>
    <d v="2023-09-01T00:00:00"/>
    <m/>
    <x v="4"/>
    <x v="0"/>
    <d v="2025-09-01T00:00:00"/>
    <d v="2025-12-31T00:00:00"/>
    <n v="1"/>
  </r>
  <r>
    <x v="20"/>
    <m/>
    <m/>
    <m/>
    <m/>
    <m/>
    <n v="1"/>
    <n v="2"/>
    <x v="0"/>
    <s v="HAMPSHIRE"/>
    <s v="Resourced Provision (SLCN) - Pinewood Infant School"/>
    <d v="2024-09-01T00:00:00"/>
    <m/>
    <x v="4"/>
    <x v="0"/>
    <d v="2025-09-01T00:00:00"/>
    <d v="2025-12-31T00:00:00"/>
    <n v="1"/>
  </r>
  <r>
    <x v="20"/>
    <m/>
    <m/>
    <m/>
    <m/>
    <m/>
    <n v="1"/>
    <n v="2"/>
    <x v="0"/>
    <s v="HAMPSHIRE"/>
    <s v="Resourced Provision (SLCN) - Pinewood Infant School"/>
    <d v="2023-09-01T00:00:00"/>
    <m/>
    <x v="2"/>
    <x v="0"/>
    <d v="2025-09-01T00:00:00"/>
    <d v="2025-12-31T00:00:00"/>
    <n v="1"/>
  </r>
  <r>
    <x v="20"/>
    <m/>
    <m/>
    <m/>
    <m/>
    <m/>
    <n v="2"/>
    <n v="3"/>
    <x v="0"/>
    <s v="HAMPSHIRE"/>
    <s v="Resourced Provision (SLCN) - Pinewood Infant School"/>
    <d v="2022-09-01T00:00:00"/>
    <d v="2025-08-31T00:00:00"/>
    <x v="2"/>
    <x v="0"/>
    <s v=""/>
    <s v=""/>
    <n v="0"/>
  </r>
  <r>
    <x v="21"/>
    <m/>
    <m/>
    <m/>
    <m/>
    <m/>
    <n v="4"/>
    <n v="5"/>
    <x v="0"/>
    <s v="HAMPSHIRE"/>
    <s v="Resourced Provision - Park View Primary"/>
    <d v="2018-10-15T00:00:00"/>
    <m/>
    <x v="6"/>
    <x v="2"/>
    <d v="2025-09-01T00:00:00"/>
    <d v="2025-12-31T00:00:00"/>
    <n v="1"/>
  </r>
  <r>
    <x v="21"/>
    <m/>
    <m/>
    <m/>
    <m/>
    <m/>
    <n v="1"/>
    <n v="2"/>
    <x v="0"/>
    <s v="HAMPSHIRE"/>
    <s v="Resourced Provision - Park View Primary"/>
    <d v="2023-09-01T00:00:00"/>
    <m/>
    <x v="6"/>
    <x v="0"/>
    <d v="2025-09-01T00:00:00"/>
    <d v="2025-12-31T00:00:00"/>
    <n v="1"/>
  </r>
  <r>
    <x v="21"/>
    <m/>
    <m/>
    <m/>
    <m/>
    <m/>
    <n v="4"/>
    <n v="5"/>
    <x v="0"/>
    <s v="HAMPSHIRE"/>
    <s v="Resourced Provision - Park View Primary"/>
    <d v="2019-09-03T00:00:00"/>
    <m/>
    <x v="6"/>
    <x v="2"/>
    <d v="2025-09-01T00:00:00"/>
    <d v="2025-12-31T00:00:00"/>
    <n v="1"/>
  </r>
  <r>
    <x v="21"/>
    <m/>
    <m/>
    <m/>
    <m/>
    <m/>
    <n v="6"/>
    <n v="7"/>
    <x v="0"/>
    <s v="HAMPSHIRE"/>
    <s v="Resourced Provision - Park View Primary"/>
    <d v="2019-01-16T00:00:00"/>
    <d v="2025-08-31T00:00:00"/>
    <x v="6"/>
    <x v="2"/>
    <s v=""/>
    <s v=""/>
    <n v="0"/>
  </r>
  <r>
    <x v="21"/>
    <m/>
    <m/>
    <m/>
    <m/>
    <m/>
    <n v="1"/>
    <n v="2"/>
    <x v="0"/>
    <s v="HAMPSHIRE"/>
    <s v="Resourced Provision - Park View Primary"/>
    <d v="2023-09-01T00:00:00"/>
    <m/>
    <x v="6"/>
    <x v="0"/>
    <d v="2025-09-01T00:00:00"/>
    <d v="2025-12-31T00:00:00"/>
    <n v="1"/>
  </r>
  <r>
    <x v="21"/>
    <m/>
    <m/>
    <m/>
    <m/>
    <m/>
    <n v="2"/>
    <n v="3"/>
    <x v="0"/>
    <s v="HAMPSHIRE"/>
    <s v="Resourced Provision - Park View Primary"/>
    <d v="2023-09-01T00:00:00"/>
    <m/>
    <x v="6"/>
    <x v="0"/>
    <d v="2025-09-01T00:00:00"/>
    <d v="2025-12-31T00:00:00"/>
    <n v="1"/>
  </r>
  <r>
    <x v="22"/>
    <m/>
    <m/>
    <m/>
    <m/>
    <m/>
    <n v="5"/>
    <n v="6"/>
    <x v="0"/>
    <s v="HAMPSHIRE"/>
    <s v="Resourced Provision (SLCN) - Morelands Primary"/>
    <d v="2022-09-01T00:00:00"/>
    <m/>
    <x v="2"/>
    <x v="0"/>
    <d v="2025-09-01T00:00:00"/>
    <d v="2025-12-31T00:00:00"/>
    <n v="1"/>
  </r>
  <r>
    <x v="22"/>
    <m/>
    <m/>
    <m/>
    <m/>
    <m/>
    <n v="1"/>
    <n v="2"/>
    <x v="0"/>
    <s v="HAMPSHIRE"/>
    <s v="Resourced Provision (ASC) - Morelands Primary"/>
    <d v="2023-09-01T00:00:00"/>
    <m/>
    <x v="4"/>
    <x v="0"/>
    <d v="2025-09-01T00:00:00"/>
    <d v="2025-12-31T00:00:00"/>
    <n v="1"/>
  </r>
  <r>
    <x v="22"/>
    <m/>
    <m/>
    <m/>
    <m/>
    <m/>
    <n v="4"/>
    <n v="5"/>
    <x v="0"/>
    <s v="HAMPSHIRE"/>
    <s v="Resourced Provision (ASC) - Morelands Primary"/>
    <d v="2023-09-01T00:00:00"/>
    <m/>
    <x v="4"/>
    <x v="0"/>
    <d v="2025-09-01T00:00:00"/>
    <d v="2025-12-31T00:00:00"/>
    <n v="1"/>
  </r>
  <r>
    <x v="22"/>
    <m/>
    <m/>
    <m/>
    <m/>
    <m/>
    <n v="1"/>
    <n v="2"/>
    <x v="0"/>
    <s v="HAMPSHIRE"/>
    <s v="Resourced Provision (ASC) - Morelands Primary"/>
    <d v="2023-09-01T00:00:00"/>
    <m/>
    <x v="4"/>
    <x v="0"/>
    <d v="2025-09-01T00:00:00"/>
    <d v="2025-12-31T00:00:00"/>
    <n v="1"/>
  </r>
  <r>
    <x v="22"/>
    <m/>
    <m/>
    <m/>
    <m/>
    <m/>
    <n v="4"/>
    <n v="5"/>
    <x v="0"/>
    <s v="HAMPSHIRE"/>
    <s v="Resourced Provision (ASC) - Morelands Primary"/>
    <d v="2023-09-01T00:00:00"/>
    <m/>
    <x v="4"/>
    <x v="0"/>
    <d v="2025-09-01T00:00:00"/>
    <d v="2025-12-31T00:00:00"/>
    <n v="1"/>
  </r>
  <r>
    <x v="22"/>
    <m/>
    <m/>
    <m/>
    <m/>
    <m/>
    <n v="5"/>
    <n v="6"/>
    <x v="0"/>
    <s v="HAMPSHIRE"/>
    <s v="Resourced Provision (SLCN) - Morelands Primary"/>
    <d v="2022-09-01T00:00:00"/>
    <m/>
    <x v="2"/>
    <x v="0"/>
    <d v="2025-09-01T00:00:00"/>
    <d v="2025-12-31T00:00:00"/>
    <n v="1"/>
  </r>
  <r>
    <x v="22"/>
    <m/>
    <m/>
    <m/>
    <m/>
    <m/>
    <n v="5"/>
    <n v="6"/>
    <x v="0"/>
    <s v="HAMPSHIRE"/>
    <s v="Resourced Provision (SLCN) - Morelands Primary"/>
    <d v="2022-09-01T00:00:00"/>
    <m/>
    <x v="2"/>
    <x v="0"/>
    <d v="2025-09-01T00:00:00"/>
    <d v="2025-12-31T00:00:00"/>
    <n v="1"/>
  </r>
  <r>
    <x v="22"/>
    <m/>
    <m/>
    <m/>
    <m/>
    <m/>
    <n v="5"/>
    <n v="6"/>
    <x v="0"/>
    <s v="HAMPSHIRE"/>
    <s v="Resourced Provision (SLCN) - Morelands Primary"/>
    <d v="2022-09-01T00:00:00"/>
    <m/>
    <x v="2"/>
    <x v="0"/>
    <d v="2025-09-01T00:00:00"/>
    <d v="2025-12-31T00:00:00"/>
    <n v="1"/>
  </r>
  <r>
    <x v="22"/>
    <m/>
    <m/>
    <m/>
    <m/>
    <m/>
    <n v="4"/>
    <n v="5"/>
    <x v="0"/>
    <s v="HAMPSHIRE"/>
    <s v="Resourced Provision (SLCN) - Morelands Primary"/>
    <d v="2024-09-01T00:00:00"/>
    <m/>
    <x v="2"/>
    <x v="0"/>
    <d v="2025-09-01T00:00:00"/>
    <d v="2025-12-31T00:00:00"/>
    <n v="1"/>
  </r>
  <r>
    <x v="22"/>
    <m/>
    <m/>
    <m/>
    <m/>
    <m/>
    <n v="3"/>
    <n v="4"/>
    <x v="0"/>
    <s v="HAMPSHIRE"/>
    <s v="Resourced Provision (SLCN) - Morelands Primary"/>
    <d v="2025-09-01T00:00:00"/>
    <m/>
    <x v="2"/>
    <x v="0"/>
    <d v="2025-09-01T00:00:00"/>
    <d v="2025-12-31T00:00:00"/>
    <n v="1"/>
  </r>
  <r>
    <x v="22"/>
    <m/>
    <m/>
    <m/>
    <m/>
    <m/>
    <n v="2"/>
    <n v="3"/>
    <x v="0"/>
    <s v="HAMPSHIRE"/>
    <s v="Resourced Provision (SLCN) - Morelands Primary"/>
    <d v="2025-01-06T00:00:00"/>
    <m/>
    <x v="2"/>
    <x v="0"/>
    <d v="2025-09-01T00:00:00"/>
    <d v="2025-12-31T00:00:00"/>
    <n v="1"/>
  </r>
  <r>
    <x v="22"/>
    <m/>
    <m/>
    <m/>
    <m/>
    <m/>
    <n v="4"/>
    <n v="5"/>
    <x v="0"/>
    <s v="HAMPSHIRE"/>
    <s v="Resourced Provision (ASC) - Morelands Primary"/>
    <d v="2023-09-01T00:00:00"/>
    <m/>
    <x v="4"/>
    <x v="0"/>
    <d v="2025-09-01T00:00:00"/>
    <d v="2025-12-31T00:00:00"/>
    <n v="1"/>
  </r>
  <r>
    <x v="22"/>
    <m/>
    <m/>
    <m/>
    <m/>
    <m/>
    <n v="6"/>
    <n v="7"/>
    <x v="0"/>
    <s v="HAMPSHIRE"/>
    <s v="Resourced Provision (SLCN) - Morelands Primary"/>
    <d v="2022-09-01T00:00:00"/>
    <d v="2025-08-31T00:00:00"/>
    <x v="2"/>
    <x v="0"/>
    <s v=""/>
    <s v=""/>
    <n v="0"/>
  </r>
  <r>
    <x v="22"/>
    <m/>
    <m/>
    <m/>
    <m/>
    <m/>
    <n v="6"/>
    <n v="7"/>
    <x v="0"/>
    <s v="HAMPSHIRE"/>
    <s v="Resourced Provision (SLCN) - Morelands Primary"/>
    <d v="2022-09-01T00:00:00"/>
    <d v="2025-08-31T00:00:00"/>
    <x v="2"/>
    <x v="0"/>
    <s v=""/>
    <s v=""/>
    <n v="0"/>
  </r>
  <r>
    <x v="22"/>
    <m/>
    <m/>
    <m/>
    <m/>
    <m/>
    <n v="4"/>
    <n v="5"/>
    <x v="0"/>
    <s v="HAMPSHIRE"/>
    <s v="Resourced Provision (SLCN) - Morelands Primary"/>
    <d v="2024-05-26T00:00:00"/>
    <m/>
    <x v="2"/>
    <x v="0"/>
    <d v="2025-09-01T00:00:00"/>
    <d v="2025-12-31T00:00:00"/>
    <n v="1"/>
  </r>
  <r>
    <x v="22"/>
    <m/>
    <m/>
    <m/>
    <m/>
    <m/>
    <n v="5"/>
    <n v="6"/>
    <x v="0"/>
    <s v="HAMPSHIRE"/>
    <s v="Resourced Provision (SLCN) - Morelands Primary"/>
    <d v="2022-09-01T00:00:00"/>
    <m/>
    <x v="2"/>
    <x v="0"/>
    <d v="2025-09-01T00:00:00"/>
    <d v="2025-12-31T00:00:00"/>
    <n v="1"/>
  </r>
  <r>
    <x v="22"/>
    <m/>
    <m/>
    <m/>
    <m/>
    <m/>
    <n v="5"/>
    <n v="6"/>
    <x v="0"/>
    <s v="HAMPSHIRE"/>
    <s v="Resourced Provision (SLCN) - Morelands Primary"/>
    <d v="2022-04-01T00:00:00"/>
    <m/>
    <x v="2"/>
    <x v="0"/>
    <d v="2025-09-01T00:00:00"/>
    <d v="2025-12-31T00:00:00"/>
    <n v="1"/>
  </r>
  <r>
    <x v="22"/>
    <m/>
    <m/>
    <m/>
    <m/>
    <m/>
    <n v="3"/>
    <n v="4"/>
    <x v="0"/>
    <s v="HAMPSHIRE"/>
    <s v="Resourced Provision (SLCN) - Morelands Primary"/>
    <d v="2025-09-01T00:00:00"/>
    <m/>
    <x v="2"/>
    <x v="0"/>
    <d v="2025-09-01T00:00:00"/>
    <d v="2025-12-31T00:00:00"/>
    <n v="1"/>
  </r>
  <r>
    <x v="22"/>
    <m/>
    <m/>
    <m/>
    <m/>
    <m/>
    <n v="1"/>
    <n v="2"/>
    <x v="0"/>
    <s v="HAMPSHIRE"/>
    <s v="Resourced Provision (SLCN) - Morelands Primary"/>
    <d v="2025-09-01T00:00:00"/>
    <m/>
    <x v="2"/>
    <x v="0"/>
    <d v="2025-09-01T00:00:00"/>
    <d v="2025-12-31T00:00:00"/>
    <n v="1"/>
  </r>
  <r>
    <x v="22"/>
    <m/>
    <m/>
    <m/>
    <m/>
    <m/>
    <n v="6"/>
    <n v="7"/>
    <x v="0"/>
    <s v="HAMPSHIRE"/>
    <s v="Resourced Provision (SLCN) - Morelands Primary"/>
    <d v="2018-09-01T00:00:00"/>
    <d v="2025-08-31T00:00:00"/>
    <x v="2"/>
    <x v="0"/>
    <s v=""/>
    <s v=""/>
    <n v="0"/>
  </r>
  <r>
    <x v="22"/>
    <m/>
    <m/>
    <m/>
    <m/>
    <m/>
    <n v="5"/>
    <n v="6"/>
    <x v="0"/>
    <s v="HAMPSHIRE"/>
    <s v="Resourced Provision (SLCN) - Morelands Primary"/>
    <d v="2022-09-01T00:00:00"/>
    <d v="2025-08-31T00:00:00"/>
    <x v="2"/>
    <x v="0"/>
    <s v=""/>
    <s v=""/>
    <n v="0"/>
  </r>
  <r>
    <x v="22"/>
    <m/>
    <m/>
    <m/>
    <m/>
    <m/>
    <n v="5"/>
    <n v="6"/>
    <x v="0"/>
    <s v="HAMPSHIRE"/>
    <s v="Resourced Provision (SLCN) - Morelands Primary"/>
    <d v="2022-09-01T00:00:00"/>
    <m/>
    <x v="2"/>
    <x v="0"/>
    <d v="2025-09-01T00:00:00"/>
    <d v="2025-12-31T00:00:00"/>
    <n v="1"/>
  </r>
  <r>
    <x v="22"/>
    <m/>
    <m/>
    <m/>
    <m/>
    <m/>
    <n v="4"/>
    <n v="5"/>
    <x v="0"/>
    <s v="HAMPSHIRE"/>
    <s v="Resourced Provision (SLCN) - Morelands Primary"/>
    <d v="2023-09-01T00:00:00"/>
    <m/>
    <x v="2"/>
    <x v="0"/>
    <d v="2025-09-01T00:00:00"/>
    <d v="2025-12-31T00:00:00"/>
    <n v="1"/>
  </r>
  <r>
    <x v="22"/>
    <m/>
    <m/>
    <m/>
    <m/>
    <m/>
    <n v="1"/>
    <n v="2"/>
    <x v="0"/>
    <s v="HAMPSHIRE"/>
    <s v="Resourced Provision (SLCN) - Morelands Primary"/>
    <d v="2024-09-01T00:00:00"/>
    <m/>
    <x v="2"/>
    <x v="0"/>
    <d v="2025-09-01T00:00:00"/>
    <d v="2025-12-31T00:00:00"/>
    <n v="1"/>
  </r>
  <r>
    <x v="22"/>
    <m/>
    <m/>
    <m/>
    <m/>
    <m/>
    <n v="3"/>
    <n v="4"/>
    <x v="0"/>
    <s v="HAMPSHIRE"/>
    <s v="Resourced Provision (ASC) - Morelands Primary"/>
    <d v="2023-09-01T00:00:00"/>
    <m/>
    <x v="4"/>
    <x v="0"/>
    <d v="2025-09-01T00:00:00"/>
    <d v="2025-12-31T00:00:00"/>
    <n v="1"/>
  </r>
  <r>
    <x v="22"/>
    <m/>
    <m/>
    <m/>
    <m/>
    <m/>
    <n v="4"/>
    <n v="5"/>
    <x v="0"/>
    <s v="HAMPSHIRE"/>
    <s v="Resourced Provision (ASC) - Morelands Primary"/>
    <d v="2023-09-01T00:00:00"/>
    <m/>
    <x v="4"/>
    <x v="0"/>
    <d v="2025-09-01T00:00:00"/>
    <d v="2025-12-31T00:00:00"/>
    <n v="1"/>
  </r>
  <r>
    <x v="22"/>
    <m/>
    <m/>
    <m/>
    <m/>
    <m/>
    <n v="5"/>
    <n v="6"/>
    <x v="0"/>
    <s v="HAMPSHIRE"/>
    <s v="Resourced Provision (ASC) - Morelands Primary"/>
    <d v="2024-05-26T00:00:00"/>
    <m/>
    <x v="2"/>
    <x v="0"/>
    <d v="2025-09-01T00:00:00"/>
    <d v="2025-12-31T00:00:00"/>
    <n v="1"/>
  </r>
  <r>
    <x v="22"/>
    <m/>
    <m/>
    <m/>
    <m/>
    <m/>
    <n v="5"/>
    <n v="6"/>
    <x v="2"/>
    <s v="PORTSMOUTH"/>
    <s v="Resourced Provision (SLCN) - Morelands Primary"/>
    <d v="2025-09-01T00:00:00"/>
    <m/>
    <x v="2"/>
    <x v="0"/>
    <d v="2025-09-01T00:00:00"/>
    <d v="2025-12-31T00:00:00"/>
    <n v="1"/>
  </r>
  <r>
    <x v="23"/>
    <m/>
    <m/>
    <m/>
    <m/>
    <m/>
    <n v="4"/>
    <n v="5"/>
    <x v="0"/>
    <s v="HAMPSHIRE"/>
    <s v="Resourced Provision - Bedenham Primary School"/>
    <d v="2024-04-15T00:00:00"/>
    <m/>
    <x v="5"/>
    <x v="0"/>
    <d v="2025-09-01T00:00:00"/>
    <d v="2025-12-31T00:00:00"/>
    <n v="1"/>
  </r>
  <r>
    <x v="23"/>
    <m/>
    <m/>
    <m/>
    <m/>
    <m/>
    <n v="4"/>
    <n v="5"/>
    <x v="0"/>
    <s v="HAMPSHIRE"/>
    <s v="Resourced Provision - Bedenham Primary School"/>
    <d v="2023-09-01T00:00:00"/>
    <m/>
    <x v="5"/>
    <x v="0"/>
    <d v="2025-09-01T00:00:00"/>
    <d v="2025-12-31T00:00:00"/>
    <n v="1"/>
  </r>
  <r>
    <x v="23"/>
    <m/>
    <m/>
    <m/>
    <m/>
    <m/>
    <n v="1"/>
    <n v="2"/>
    <x v="0"/>
    <s v="HAMPSHIRE"/>
    <s v="Resourced Provision - Bedenham Primary School"/>
    <d v="2025-05-12T00:00:00"/>
    <m/>
    <x v="5"/>
    <x v="0"/>
    <d v="2025-09-01T00:00:00"/>
    <d v="2025-12-31T00:00:00"/>
    <n v="1"/>
  </r>
  <r>
    <x v="23"/>
    <m/>
    <m/>
    <m/>
    <m/>
    <m/>
    <n v="5"/>
    <n v="6"/>
    <x v="0"/>
    <s v="HAMPSHIRE"/>
    <s v="Resourced Provision - Bedenham Primary School"/>
    <d v="2021-09-01T00:00:00"/>
    <m/>
    <x v="5"/>
    <x v="0"/>
    <d v="2025-09-01T00:00:00"/>
    <d v="2025-12-31T00:00:00"/>
    <n v="1"/>
  </r>
  <r>
    <x v="23"/>
    <m/>
    <m/>
    <m/>
    <m/>
    <m/>
    <n v="1"/>
    <n v="2"/>
    <x v="0"/>
    <s v="HAMPSHIRE"/>
    <s v="Resourced Provision - Bedenham Primary School"/>
    <d v="2025-02-01T00:00:00"/>
    <m/>
    <x v="5"/>
    <x v="0"/>
    <d v="2025-09-01T00:00:00"/>
    <d v="2025-12-31T00:00:00"/>
    <n v="1"/>
  </r>
  <r>
    <x v="23"/>
    <m/>
    <m/>
    <m/>
    <m/>
    <m/>
    <n v="5"/>
    <n v="6"/>
    <x v="0"/>
    <s v="HAMPSHIRE"/>
    <s v="Resourced Provision - Bedenham Primary School"/>
    <d v="2024-09-01T00:00:00"/>
    <m/>
    <x v="5"/>
    <x v="0"/>
    <d v="2025-09-01T00:00:00"/>
    <d v="2025-12-31T00:00:00"/>
    <n v="1"/>
  </r>
  <r>
    <x v="23"/>
    <m/>
    <m/>
    <m/>
    <m/>
    <m/>
    <n v="4"/>
    <n v="5"/>
    <x v="0"/>
    <s v="HAMPSHIRE"/>
    <s v="Resourced Provision - Bedenham Primary School"/>
    <d v="2024-02-19T00:00:00"/>
    <m/>
    <x v="5"/>
    <x v="0"/>
    <d v="2025-09-01T00:00:00"/>
    <d v="2025-12-31T00:00:00"/>
    <n v="1"/>
  </r>
  <r>
    <x v="23"/>
    <m/>
    <m/>
    <m/>
    <m/>
    <m/>
    <n v="1"/>
    <n v="2"/>
    <x v="0"/>
    <s v="HAMPSHIRE"/>
    <s v="Resourced Provision - Bedenham Primary School"/>
    <d v="2024-09-01T00:00:00"/>
    <m/>
    <x v="5"/>
    <x v="0"/>
    <d v="2025-09-01T00:00:00"/>
    <d v="2025-12-31T00:00:00"/>
    <n v="1"/>
  </r>
  <r>
    <x v="23"/>
    <m/>
    <m/>
    <m/>
    <m/>
    <m/>
    <n v="3"/>
    <n v="4"/>
    <x v="0"/>
    <s v="HAMPSHIRE"/>
    <s v="Resourced Provision - Bedenham Primary School"/>
    <d v="2022-09-01T00:00:00"/>
    <m/>
    <x v="5"/>
    <x v="0"/>
    <d v="2025-09-01T00:00:00"/>
    <d v="2025-12-31T00:00:00"/>
    <n v="1"/>
  </r>
  <r>
    <x v="23"/>
    <m/>
    <m/>
    <m/>
    <m/>
    <m/>
    <n v="6"/>
    <n v="7"/>
    <x v="0"/>
    <s v="HAMPSHIRE"/>
    <s v="Resourced Provision - Bedenham Primary School"/>
    <d v="2021-09-01T00:00:00"/>
    <d v="2025-08-31T00:00:00"/>
    <x v="5"/>
    <x v="0"/>
    <s v=""/>
    <s v=""/>
    <n v="0"/>
  </r>
  <r>
    <x v="23"/>
    <m/>
    <m/>
    <m/>
    <m/>
    <m/>
    <n v="4"/>
    <n v="5"/>
    <x v="0"/>
    <s v="HAMPSHIRE"/>
    <s v="Resourced Provision - Bedenham Primary School"/>
    <d v="2022-09-01T00:00:00"/>
    <m/>
    <x v="5"/>
    <x v="0"/>
    <d v="2025-09-01T00:00:00"/>
    <d v="2025-12-31T00:00:00"/>
    <n v="1"/>
  </r>
  <r>
    <x v="23"/>
    <m/>
    <m/>
    <m/>
    <m/>
    <m/>
    <n v="3"/>
    <n v="4"/>
    <x v="0"/>
    <s v="HAMPSHIRE"/>
    <s v="Resourced Provision - Bedenham Primary School"/>
    <d v="2025-02-01T00:00:00"/>
    <m/>
    <x v="5"/>
    <x v="0"/>
    <d v="2025-09-01T00:00:00"/>
    <d v="2025-12-31T00:00:00"/>
    <n v="1"/>
  </r>
  <r>
    <x v="23"/>
    <m/>
    <m/>
    <m/>
    <m/>
    <m/>
    <n v="6"/>
    <n v="7"/>
    <x v="0"/>
    <s v="HAMPSHIRE"/>
    <s v="Resourced Provision - Bedenham Primary School"/>
    <d v="2021-09-01T00:00:00"/>
    <d v="2025-08-31T00:00:00"/>
    <x v="5"/>
    <x v="0"/>
    <s v=""/>
    <s v=""/>
    <n v="0"/>
  </r>
  <r>
    <x v="23"/>
    <m/>
    <m/>
    <m/>
    <m/>
    <m/>
    <n v="6"/>
    <n v="7"/>
    <x v="0"/>
    <s v="HAMPSHIRE"/>
    <s v="Resourced Provision - Bedenham Primary School"/>
    <d v="2023-09-01T00:00:00"/>
    <d v="2025-08-31T00:00:00"/>
    <x v="5"/>
    <x v="0"/>
    <s v=""/>
    <s v=""/>
    <n v="0"/>
  </r>
  <r>
    <x v="23"/>
    <m/>
    <m/>
    <m/>
    <m/>
    <m/>
    <n v="5"/>
    <n v="6"/>
    <x v="0"/>
    <s v="HAMPSHIRE"/>
    <s v="Resourced Provision - Bedenham Primary School"/>
    <d v="2024-09-01T00:00:00"/>
    <m/>
    <x v="5"/>
    <x v="0"/>
    <d v="2025-09-01T00:00:00"/>
    <d v="2025-12-31T00:00:00"/>
    <n v="1"/>
  </r>
  <r>
    <x v="24"/>
    <m/>
    <m/>
    <m/>
    <m/>
    <m/>
    <n v="6"/>
    <n v="7"/>
    <x v="0"/>
    <s v="HAMPSHIRE"/>
    <s v="Resourced Provision (SLCN) - Holbrook Primary School"/>
    <d v="2018-09-01T00:00:00"/>
    <d v="2025-08-31T00:00:00"/>
    <x v="2"/>
    <x v="0"/>
    <s v=""/>
    <s v=""/>
    <n v="0"/>
  </r>
  <r>
    <x v="24"/>
    <m/>
    <m/>
    <m/>
    <m/>
    <m/>
    <n v="1"/>
    <n v="2"/>
    <x v="0"/>
    <s v="HAMPSHIRE"/>
    <s v="Resourced Provision (ASC) - Holbrook Primary School"/>
    <d v="2024-09-01T00:00:00"/>
    <m/>
    <x v="4"/>
    <x v="0"/>
    <d v="2025-09-01T00:00:00"/>
    <d v="2025-12-31T00:00:00"/>
    <n v="1"/>
  </r>
  <r>
    <x v="24"/>
    <m/>
    <m/>
    <m/>
    <m/>
    <m/>
    <n v="2"/>
    <n v="3"/>
    <x v="0"/>
    <s v="HAMPSHIRE"/>
    <s v="Resourced Provision (ASC) - Holbrook Primary School"/>
    <d v="2022-09-01T00:00:00"/>
    <m/>
    <x v="4"/>
    <x v="0"/>
    <d v="2025-09-01T00:00:00"/>
    <d v="2025-12-31T00:00:00"/>
    <n v="1"/>
  </r>
  <r>
    <x v="24"/>
    <m/>
    <m/>
    <m/>
    <m/>
    <m/>
    <n v="1"/>
    <n v="2"/>
    <x v="0"/>
    <s v="HAMPSHIRE"/>
    <s v="Resourced Provision (ASC) - Holbrook Primary School"/>
    <d v="2023-09-01T00:00:00"/>
    <m/>
    <x v="4"/>
    <x v="0"/>
    <d v="2025-09-01T00:00:00"/>
    <d v="2025-12-31T00:00:00"/>
    <n v="1"/>
  </r>
  <r>
    <x v="24"/>
    <m/>
    <m/>
    <m/>
    <m/>
    <m/>
    <n v="1"/>
    <n v="2"/>
    <x v="0"/>
    <s v="HAMPSHIRE"/>
    <s v="Resourced Provision (ASC) - Holbrook Primary School"/>
    <d v="2023-09-01T00:00:00"/>
    <m/>
    <x v="4"/>
    <x v="0"/>
    <d v="2025-09-01T00:00:00"/>
    <d v="2025-12-31T00:00:00"/>
    <n v="1"/>
  </r>
  <r>
    <x v="24"/>
    <m/>
    <m/>
    <m/>
    <m/>
    <m/>
    <n v="4"/>
    <n v="5"/>
    <x v="0"/>
    <s v="HAMPSHIRE"/>
    <s v="Resourced Provision (ASC) - Holbrook Primary School"/>
    <d v="2020-09-01T00:00:00"/>
    <m/>
    <x v="4"/>
    <x v="0"/>
    <d v="2025-09-01T00:00:00"/>
    <d v="2025-12-31T00:00:00"/>
    <n v="1"/>
  </r>
  <r>
    <x v="24"/>
    <m/>
    <m/>
    <m/>
    <m/>
    <m/>
    <n v="6"/>
    <n v="7"/>
    <x v="0"/>
    <s v="HAMPSHIRE"/>
    <s v="Resourced Provision (SLCN) - Holbrook Primary School"/>
    <d v="2021-09-01T00:00:00"/>
    <d v="2025-08-31T00:00:00"/>
    <x v="2"/>
    <x v="0"/>
    <s v=""/>
    <s v=""/>
    <n v="0"/>
  </r>
  <r>
    <x v="24"/>
    <m/>
    <m/>
    <m/>
    <m/>
    <m/>
    <n v="6"/>
    <n v="7"/>
    <x v="0"/>
    <s v="HAMPSHIRE"/>
    <s v="Resourced Provision (ASC) - Holbrook Primary School"/>
    <d v="2020-09-01T00:00:00"/>
    <d v="2025-08-31T00:00:00"/>
    <x v="4"/>
    <x v="0"/>
    <s v=""/>
    <s v=""/>
    <n v="0"/>
  </r>
  <r>
    <x v="24"/>
    <m/>
    <m/>
    <m/>
    <m/>
    <m/>
    <n v="6"/>
    <n v="7"/>
    <x v="0"/>
    <s v="HAMPSHIRE"/>
    <s v="Resourced Provision (SLCN) - Holbrook Primary School"/>
    <d v="2022-09-01T00:00:00"/>
    <d v="2025-08-31T00:00:00"/>
    <x v="2"/>
    <x v="0"/>
    <s v=""/>
    <s v=""/>
    <n v="0"/>
  </r>
  <r>
    <x v="24"/>
    <m/>
    <m/>
    <m/>
    <m/>
    <m/>
    <n v="2"/>
    <n v="3"/>
    <x v="0"/>
    <s v="HAMPSHIRE"/>
    <s v="Resourced Provision (ASC) - Holbrook Primary School"/>
    <d v="2022-09-01T00:00:00"/>
    <m/>
    <x v="4"/>
    <x v="0"/>
    <d v="2025-09-01T00:00:00"/>
    <d v="2025-12-31T00:00:00"/>
    <n v="1"/>
  </r>
  <r>
    <x v="24"/>
    <m/>
    <m/>
    <m/>
    <m/>
    <m/>
    <n v="5"/>
    <n v="6"/>
    <x v="0"/>
    <s v="HAMPSHIRE"/>
    <s v="Resourced Provision (ASC) - Holbrook Primary School"/>
    <d v="2024-11-19T00:00:00"/>
    <m/>
    <x v="4"/>
    <x v="0"/>
    <d v="2025-09-01T00:00:00"/>
    <d v="2025-12-31T00:00:00"/>
    <n v="1"/>
  </r>
  <r>
    <x v="24"/>
    <m/>
    <m/>
    <m/>
    <m/>
    <m/>
    <n v="2"/>
    <n v="3"/>
    <x v="0"/>
    <s v="HAMPSHIRE"/>
    <s v="Resourced Provision (ASC) - Holbrook Primary School"/>
    <d v="2025-02-24T00:00:00"/>
    <m/>
    <x v="4"/>
    <x v="0"/>
    <d v="2025-09-01T00:00:00"/>
    <d v="2025-12-31T00:00:00"/>
    <n v="1"/>
  </r>
  <r>
    <x v="24"/>
    <m/>
    <m/>
    <m/>
    <m/>
    <m/>
    <n v="6"/>
    <n v="7"/>
    <x v="0"/>
    <s v="HAMPSHIRE"/>
    <s v="Resourced Provision (ASC) - Holbrook Primary School"/>
    <d v="2020-09-01T00:00:00"/>
    <d v="2025-08-31T00:00:00"/>
    <x v="4"/>
    <x v="0"/>
    <s v=""/>
    <s v=""/>
    <n v="0"/>
  </r>
  <r>
    <x v="24"/>
    <m/>
    <m/>
    <m/>
    <m/>
    <m/>
    <n v="4"/>
    <n v="5"/>
    <x v="0"/>
    <s v="HAMPSHIRE"/>
    <s v="Resourced Provision (SLCN) - Holbrook Primary School"/>
    <d v="2024-09-01T00:00:00"/>
    <m/>
    <x v="2"/>
    <x v="0"/>
    <d v="2025-09-01T00:00:00"/>
    <d v="2025-12-31T00:00:00"/>
    <n v="1"/>
  </r>
  <r>
    <x v="24"/>
    <m/>
    <m/>
    <m/>
    <m/>
    <m/>
    <n v="2"/>
    <n v="3"/>
    <x v="0"/>
    <s v="HAMPSHIRE"/>
    <s v="Resourced Provision (ASC) - Holbrook Primary School"/>
    <d v="2023-09-01T00:00:00"/>
    <m/>
    <x v="4"/>
    <x v="0"/>
    <d v="2025-09-01T00:00:00"/>
    <d v="2025-12-31T00:00:00"/>
    <n v="1"/>
  </r>
  <r>
    <x v="24"/>
    <m/>
    <m/>
    <m/>
    <m/>
    <m/>
    <n v="1"/>
    <n v="2"/>
    <x v="0"/>
    <s v="HAMPSHIRE"/>
    <s v="Resourced Provision (ASC) - Holbrook Primary School"/>
    <d v="2024-01-01T00:00:00"/>
    <m/>
    <x v="4"/>
    <x v="0"/>
    <d v="2025-09-01T00:00:00"/>
    <d v="2025-12-31T00:00:00"/>
    <n v="1"/>
  </r>
  <r>
    <x v="24"/>
    <m/>
    <m/>
    <m/>
    <m/>
    <m/>
    <n v="5"/>
    <n v="6"/>
    <x v="0"/>
    <s v="HAMPSHIRE"/>
    <s v="Resourced Provision (SLCN) - Holbrook Primary School"/>
    <d v="2022-09-01T00:00:00"/>
    <m/>
    <x v="2"/>
    <x v="0"/>
    <d v="2025-09-01T00:00:00"/>
    <d v="2025-12-31T00:00:00"/>
    <n v="1"/>
  </r>
  <r>
    <x v="24"/>
    <m/>
    <m/>
    <m/>
    <m/>
    <m/>
    <n v="6"/>
    <n v="7"/>
    <x v="0"/>
    <s v="HAMPSHIRE"/>
    <s v="Resourced Provision (ASC) - Holbrook Primary School"/>
    <d v="2020-09-01T00:00:00"/>
    <d v="2025-08-31T00:00:00"/>
    <x v="4"/>
    <x v="0"/>
    <s v=""/>
    <s v=""/>
    <n v="0"/>
  </r>
  <r>
    <x v="24"/>
    <m/>
    <m/>
    <m/>
    <m/>
    <m/>
    <n v="5"/>
    <n v="6"/>
    <x v="0"/>
    <s v="HAMPSHIRE"/>
    <s v="Resourced Provision (ASC) - Holbrook Primary School"/>
    <d v="2020-09-01T00:00:00"/>
    <m/>
    <x v="4"/>
    <x v="0"/>
    <d v="2025-09-01T00:00:00"/>
    <d v="2025-12-31T00:00:00"/>
    <n v="1"/>
  </r>
  <r>
    <x v="24"/>
    <m/>
    <m/>
    <m/>
    <m/>
    <m/>
    <n v="4"/>
    <n v="5"/>
    <x v="0"/>
    <s v="HAMPSHIRE"/>
    <s v="Resourced Provision (ASC) - Holbrook Primary School"/>
    <d v="2020-09-01T00:00:00"/>
    <m/>
    <x v="4"/>
    <x v="0"/>
    <d v="2025-09-01T00:00:00"/>
    <d v="2025-12-31T00:00:00"/>
    <n v="1"/>
  </r>
  <r>
    <x v="24"/>
    <m/>
    <m/>
    <m/>
    <m/>
    <m/>
    <n v="0"/>
    <n v="1"/>
    <x v="0"/>
    <s v="HAMPSHIRE"/>
    <s v="Resourced Provision (ASC) - Holbrook Primary School"/>
    <d v="2024-11-11T00:00:00"/>
    <m/>
    <x v="4"/>
    <x v="0"/>
    <d v="2025-09-01T00:00:00"/>
    <d v="2025-12-31T00:00:00"/>
    <n v="1"/>
  </r>
  <r>
    <x v="24"/>
    <m/>
    <m/>
    <m/>
    <m/>
    <m/>
    <n v="4"/>
    <n v="5"/>
    <x v="0"/>
    <s v="HAMPSHIRE"/>
    <s v="Resourced Provision (SLCN) - Holbrook Primary School"/>
    <d v="2024-09-01T00:00:00"/>
    <m/>
    <x v="2"/>
    <x v="0"/>
    <d v="2025-09-01T00:00:00"/>
    <d v="2025-12-31T00:00:00"/>
    <n v="1"/>
  </r>
  <r>
    <x v="24"/>
    <m/>
    <m/>
    <m/>
    <m/>
    <m/>
    <n v="1"/>
    <n v="2"/>
    <x v="0"/>
    <s v="HAMPSHIRE"/>
    <s v="Resourced Provision (ASC) - Holbrook Primary School"/>
    <d v="2024-01-26T00:00:00"/>
    <m/>
    <x v="4"/>
    <x v="0"/>
    <d v="2025-09-01T00:00:00"/>
    <d v="2025-12-31T00:00:00"/>
    <n v="1"/>
  </r>
  <r>
    <x v="24"/>
    <m/>
    <m/>
    <m/>
    <m/>
    <m/>
    <n v="4"/>
    <n v="5"/>
    <x v="0"/>
    <s v="HAMPSHIRE"/>
    <s v="Resourced Provision (ASC) - Holbrook Primary School"/>
    <d v="2025-02-24T00:00:00"/>
    <m/>
    <x v="4"/>
    <x v="0"/>
    <d v="2025-09-01T00:00:00"/>
    <d v="2025-12-31T00:00:00"/>
    <n v="1"/>
  </r>
  <r>
    <x v="24"/>
    <m/>
    <m/>
    <m/>
    <m/>
    <m/>
    <n v="2"/>
    <n v="3"/>
    <x v="0"/>
    <s v="HAMPSHIRE"/>
    <s v="Resourced Provision (ASC) - Holbrook Primary School"/>
    <d v="2023-09-01T00:00:00"/>
    <m/>
    <x v="4"/>
    <x v="0"/>
    <d v="2025-09-01T00:00:00"/>
    <d v="2025-12-31T00:00:00"/>
    <n v="1"/>
  </r>
  <r>
    <x v="24"/>
    <m/>
    <m/>
    <m/>
    <m/>
    <m/>
    <n v="5"/>
    <n v="6"/>
    <x v="0"/>
    <s v="HAMPSHIRE"/>
    <s v="Resourced Provision (ASC) - Holbrook Primary School"/>
    <d v="2020-09-01T00:00:00"/>
    <m/>
    <x v="4"/>
    <x v="0"/>
    <d v="2025-09-01T00:00:00"/>
    <d v="2025-12-31T00:00:00"/>
    <n v="1"/>
  </r>
  <r>
    <x v="24"/>
    <m/>
    <m/>
    <m/>
    <m/>
    <m/>
    <n v="2"/>
    <n v="3"/>
    <x v="0"/>
    <s v="HAMPSHIRE"/>
    <s v="Resourced Provision (ASC) - Holbrook Primary School"/>
    <d v="2023-10-06T00:00:00"/>
    <m/>
    <x v="4"/>
    <x v="0"/>
    <d v="2025-09-01T00:00:00"/>
    <d v="2025-12-31T00:00:00"/>
    <n v="1"/>
  </r>
  <r>
    <x v="24"/>
    <m/>
    <m/>
    <m/>
    <m/>
    <m/>
    <n v="2"/>
    <n v="3"/>
    <x v="0"/>
    <s v="HAMPSHIRE"/>
    <s v="Resourced Provision (ASC) - Holbrook Primary School"/>
    <d v="2022-09-01T00:00:00"/>
    <m/>
    <x v="4"/>
    <x v="0"/>
    <d v="2025-09-01T00:00:00"/>
    <d v="2025-12-31T00:00:00"/>
    <n v="1"/>
  </r>
  <r>
    <x v="24"/>
    <m/>
    <m/>
    <m/>
    <m/>
    <m/>
    <n v="1"/>
    <n v="2"/>
    <x v="0"/>
    <s v="HAMPSHIRE"/>
    <s v="Resourced Provision (ASC) - Holbrook Primary School"/>
    <d v="2025-05-06T00:00:00"/>
    <m/>
    <x v="4"/>
    <x v="0"/>
    <d v="2025-09-01T00:00:00"/>
    <d v="2025-12-31T00:00:00"/>
    <n v="1"/>
  </r>
  <r>
    <x v="24"/>
    <m/>
    <m/>
    <m/>
    <m/>
    <m/>
    <n v="1"/>
    <n v="2"/>
    <x v="0"/>
    <s v="HAMPSHIRE"/>
    <s v="Resourced Provision (ASC) - Holbrook Primary School"/>
    <d v="2023-09-01T00:00:00"/>
    <m/>
    <x v="4"/>
    <x v="0"/>
    <d v="2025-09-01T00:00:00"/>
    <d v="2025-12-31T00:00:00"/>
    <n v="1"/>
  </r>
  <r>
    <x v="24"/>
    <m/>
    <m/>
    <m/>
    <m/>
    <m/>
    <n v="4"/>
    <n v="5"/>
    <x v="0"/>
    <s v="HAMPSHIRE"/>
    <s v="Resourced Provision (ASC) - Holbrook Primary School"/>
    <d v="2024-11-04T00:00:00"/>
    <m/>
    <x v="4"/>
    <x v="0"/>
    <d v="2025-09-01T00:00:00"/>
    <d v="2025-12-31T00:00:00"/>
    <n v="1"/>
  </r>
  <r>
    <x v="24"/>
    <m/>
    <m/>
    <m/>
    <m/>
    <m/>
    <n v="4"/>
    <n v="5"/>
    <x v="0"/>
    <s v="HAMPSHIRE"/>
    <s v="Resourced Provision (ASC) - Holbrook Primary School"/>
    <d v="2023-09-01T00:00:00"/>
    <m/>
    <x v="4"/>
    <x v="0"/>
    <d v="2025-09-01T00:00:00"/>
    <d v="2025-12-31T00:00:00"/>
    <n v="1"/>
  </r>
  <r>
    <x v="24"/>
    <m/>
    <m/>
    <m/>
    <m/>
    <m/>
    <n v="5"/>
    <n v="6"/>
    <x v="0"/>
    <s v="HAMPSHIRE"/>
    <s v="Resourced Provision (SLCN) - Holbrook Primary School"/>
    <d v="2022-09-01T00:00:00"/>
    <m/>
    <x v="2"/>
    <x v="0"/>
    <d v="2025-09-01T00:00:00"/>
    <d v="2025-12-31T00:00:00"/>
    <n v="1"/>
  </r>
  <r>
    <x v="25"/>
    <m/>
    <m/>
    <m/>
    <m/>
    <m/>
    <n v="5"/>
    <n v="6"/>
    <x v="0"/>
    <s v="HAMPSHIRE"/>
    <s v="Resourced Provision - Medstead CofE Primary School"/>
    <d v="2022-09-01T00:00:00"/>
    <m/>
    <x v="6"/>
    <x v="2"/>
    <d v="2025-09-01T00:00:00"/>
    <d v="2025-12-31T00:00:00"/>
    <n v="1"/>
  </r>
  <r>
    <x v="25"/>
    <m/>
    <m/>
    <m/>
    <m/>
    <m/>
    <n v="4"/>
    <n v="5"/>
    <x v="0"/>
    <s v="HAMPSHIRE"/>
    <s v="Resourced Provision - Medstead CofE Primary School"/>
    <d v="2020-09-01T00:00:00"/>
    <d v="2025-05-23T00:00:00"/>
    <x v="6"/>
    <x v="2"/>
    <s v=""/>
    <s v=""/>
    <n v="0"/>
  </r>
  <r>
    <x v="25"/>
    <m/>
    <m/>
    <m/>
    <m/>
    <m/>
    <n v="3"/>
    <n v="4"/>
    <x v="0"/>
    <s v="HAMPSHIRE"/>
    <s v="Resourced Provision - Medstead CofE Primary School"/>
    <d v="2021-09-01T00:00:00"/>
    <m/>
    <x v="6"/>
    <x v="2"/>
    <d v="2025-09-01T00:00:00"/>
    <d v="2025-12-31T00:00:00"/>
    <n v="1"/>
  </r>
  <r>
    <x v="25"/>
    <m/>
    <m/>
    <m/>
    <m/>
    <m/>
    <n v="2"/>
    <n v="3"/>
    <x v="0"/>
    <s v="HAMPSHIRE"/>
    <s v="Resourced Provision - Medstead CofE Primary School"/>
    <d v="2022-09-01T00:00:00"/>
    <m/>
    <x v="6"/>
    <x v="2"/>
    <d v="2025-09-01T00:00:00"/>
    <d v="2025-12-31T00:00:00"/>
    <n v="1"/>
  </r>
  <r>
    <x v="25"/>
    <m/>
    <m/>
    <m/>
    <m/>
    <m/>
    <n v="4"/>
    <n v="5"/>
    <x v="0"/>
    <s v="HAMPSHIRE"/>
    <s v="Resourced Provision - Medstead CofE Primary School"/>
    <d v="2025-02-10T00:00:00"/>
    <m/>
    <x v="6"/>
    <x v="2"/>
    <d v="2025-09-01T00:00:00"/>
    <d v="2025-12-31T00:00:00"/>
    <n v="1"/>
  </r>
  <r>
    <x v="25"/>
    <m/>
    <m/>
    <m/>
    <m/>
    <m/>
    <n v="6"/>
    <n v="7"/>
    <x v="0"/>
    <s v="HAMPSHIRE"/>
    <s v="Resourced Provision - Medstead CofE Primary School"/>
    <d v="2022-04-01T00:00:00"/>
    <d v="2025-08-31T00:00:00"/>
    <x v="6"/>
    <x v="2"/>
    <s v=""/>
    <s v=""/>
    <n v="0"/>
  </r>
  <r>
    <x v="25"/>
    <m/>
    <m/>
    <m/>
    <m/>
    <m/>
    <n v="2"/>
    <n v="3"/>
    <x v="0"/>
    <s v="HAMPSHIRE"/>
    <s v="Resourced Provision - Medstead CofE Primary School"/>
    <d v="2022-09-01T00:00:00"/>
    <m/>
    <x v="6"/>
    <x v="2"/>
    <d v="2025-09-01T00:00:00"/>
    <d v="2025-12-31T00:00:00"/>
    <n v="1"/>
  </r>
  <r>
    <x v="25"/>
    <m/>
    <m/>
    <m/>
    <m/>
    <m/>
    <n v="4"/>
    <n v="5"/>
    <x v="0"/>
    <s v="HAMPSHIRE"/>
    <s v="Resourced Provision - Medstead CofE Primary School"/>
    <d v="2020-09-01T00:00:00"/>
    <m/>
    <x v="6"/>
    <x v="0"/>
    <d v="2025-09-01T00:00:00"/>
    <d v="2025-12-31T00:00:00"/>
    <n v="1"/>
  </r>
  <r>
    <x v="25"/>
    <m/>
    <m/>
    <m/>
    <m/>
    <m/>
    <n v="5"/>
    <n v="6"/>
    <x v="0"/>
    <s v="HAMPSHIRE"/>
    <s v="Resourced Provision - Medstead CofE Primary School"/>
    <d v="2019-09-01T00:00:00"/>
    <m/>
    <x v="6"/>
    <x v="2"/>
    <d v="2025-09-01T00:00:00"/>
    <d v="2025-12-31T00:00:00"/>
    <n v="1"/>
  </r>
  <r>
    <x v="26"/>
    <m/>
    <m/>
    <m/>
    <m/>
    <m/>
    <n v="2"/>
    <n v="3"/>
    <x v="0"/>
    <s v="HAMPSHIRE"/>
    <s v="Resourced Provision - Pennington Junior School"/>
    <d v="2025-04-30T00:00:00"/>
    <m/>
    <x v="5"/>
    <x v="0"/>
    <d v="2025-09-01T00:00:00"/>
    <d v="2025-12-31T00:00:00"/>
    <n v="1"/>
  </r>
  <r>
    <x v="26"/>
    <m/>
    <m/>
    <m/>
    <m/>
    <m/>
    <n v="1"/>
    <n v="2"/>
    <x v="0"/>
    <s v="HAMPSHIRE"/>
    <s v="Resourced Provision - Pennington Junior School"/>
    <d v="2025-09-01T00:00:00"/>
    <m/>
    <x v="5"/>
    <x v="0"/>
    <d v="2025-09-01T00:00:00"/>
    <d v="2025-12-31T00:00:00"/>
    <n v="1"/>
  </r>
  <r>
    <x v="26"/>
    <m/>
    <m/>
    <m/>
    <m/>
    <m/>
    <n v="5"/>
    <n v="6"/>
    <x v="0"/>
    <s v="HAMPSHIRE"/>
    <s v="Resourced Provision - Pennington Junior School"/>
    <d v="2022-09-01T00:00:00"/>
    <m/>
    <x v="5"/>
    <x v="0"/>
    <d v="2025-09-01T00:00:00"/>
    <d v="2025-12-31T00:00:00"/>
    <n v="1"/>
  </r>
  <r>
    <x v="26"/>
    <m/>
    <m/>
    <m/>
    <m/>
    <m/>
    <n v="1"/>
    <n v="2"/>
    <x v="0"/>
    <s v="HAMPSHIRE"/>
    <s v="Resourced Provision - Pennington Junior School"/>
    <d v="2025-09-01T00:00:00"/>
    <m/>
    <x v="5"/>
    <x v="0"/>
    <d v="2025-09-01T00:00:00"/>
    <d v="2025-12-31T00:00:00"/>
    <n v="1"/>
  </r>
  <r>
    <x v="26"/>
    <m/>
    <m/>
    <m/>
    <m/>
    <m/>
    <n v="3"/>
    <n v="4"/>
    <x v="0"/>
    <s v="HAMPSHIRE"/>
    <s v="Resourced Provision - Pennington Junior School"/>
    <d v="2024-09-01T00:00:00"/>
    <m/>
    <x v="5"/>
    <x v="0"/>
    <d v="2025-09-01T00:00:00"/>
    <d v="2025-12-31T00:00:00"/>
    <n v="1"/>
  </r>
  <r>
    <x v="26"/>
    <m/>
    <m/>
    <m/>
    <m/>
    <m/>
    <n v="4"/>
    <n v="5"/>
    <x v="0"/>
    <s v="HAMPSHIRE"/>
    <s v="Resourced Provision - Pennington Junior School"/>
    <d v="2023-09-01T00:00:00"/>
    <m/>
    <x v="5"/>
    <x v="0"/>
    <d v="2025-09-01T00:00:00"/>
    <d v="2025-12-31T00:00:00"/>
    <n v="1"/>
  </r>
  <r>
    <x v="26"/>
    <m/>
    <m/>
    <m/>
    <m/>
    <m/>
    <n v="4"/>
    <n v="5"/>
    <x v="0"/>
    <s v="HAMPSHIRE"/>
    <s v="Resourced Provision - Pennington Junior School"/>
    <d v="2024-06-19T00:00:00"/>
    <m/>
    <x v="5"/>
    <x v="0"/>
    <d v="2025-09-01T00:00:00"/>
    <d v="2025-12-31T00:00:00"/>
    <n v="1"/>
  </r>
  <r>
    <x v="26"/>
    <m/>
    <m/>
    <m/>
    <m/>
    <m/>
    <n v="6"/>
    <n v="7"/>
    <x v="0"/>
    <s v="HAMPSHIRE"/>
    <s v="Resourced Provision - Pennington Junior School"/>
    <d v="2023-04-17T00:00:00"/>
    <d v="2025-08-31T00:00:00"/>
    <x v="5"/>
    <x v="0"/>
    <s v=""/>
    <s v=""/>
    <n v="0"/>
  </r>
  <r>
    <x v="26"/>
    <m/>
    <m/>
    <m/>
    <m/>
    <m/>
    <n v="3"/>
    <n v="4"/>
    <x v="0"/>
    <s v="HAMPSHIRE"/>
    <s v="Resourced Provision - Pennington Junior School"/>
    <d v="2024-09-01T00:00:00"/>
    <m/>
    <x v="5"/>
    <x v="0"/>
    <d v="2025-09-01T00:00:00"/>
    <d v="2025-12-31T00:00:00"/>
    <n v="1"/>
  </r>
  <r>
    <x v="26"/>
    <m/>
    <m/>
    <m/>
    <m/>
    <m/>
    <n v="3"/>
    <n v="4"/>
    <x v="0"/>
    <s v="HAMPSHIRE"/>
    <s v="Resourced Provision - Pennington Junior School"/>
    <d v="2024-09-01T00:00:00"/>
    <m/>
    <x v="5"/>
    <x v="0"/>
    <d v="2025-09-01T00:00:00"/>
    <d v="2025-12-31T00:00:00"/>
    <n v="1"/>
  </r>
  <r>
    <x v="26"/>
    <m/>
    <m/>
    <m/>
    <m/>
    <m/>
    <n v="3"/>
    <n v="4"/>
    <x v="0"/>
    <s v="HAMPSHIRE"/>
    <s v="Resourced Provision - Pennington Junior School"/>
    <d v="2024-09-01T00:00:00"/>
    <m/>
    <x v="5"/>
    <x v="0"/>
    <d v="2025-09-01T00:00:00"/>
    <d v="2025-12-31T00:00:00"/>
    <n v="1"/>
  </r>
  <r>
    <x v="26"/>
    <m/>
    <m/>
    <m/>
    <m/>
    <m/>
    <n v="2"/>
    <n v="3"/>
    <x v="0"/>
    <s v="HAMPSHIRE"/>
    <s v="Resourced Provision - Pennington Junior School"/>
    <d v="2025-09-01T00:00:00"/>
    <m/>
    <x v="5"/>
    <x v="0"/>
    <d v="2025-09-01T00:00:00"/>
    <d v="2025-12-31T00:00:00"/>
    <n v="1"/>
  </r>
  <r>
    <x v="27"/>
    <m/>
    <m/>
    <m/>
    <m/>
    <m/>
    <n v="-1"/>
    <n v="0"/>
    <x v="0"/>
    <s v="HAMPSHIRE"/>
    <s v="Resourced Provision - St Judes Catholic Primary School"/>
    <d v="2025-09-01T00:00:00"/>
    <m/>
    <x v="6"/>
    <x v="0"/>
    <d v="2025-09-01T00:00:00"/>
    <d v="2025-12-31T00:00:00"/>
    <n v="1"/>
  </r>
  <r>
    <x v="27"/>
    <m/>
    <m/>
    <m/>
    <m/>
    <m/>
    <n v="5"/>
    <n v="6"/>
    <x v="0"/>
    <s v="HAMPSHIRE"/>
    <s v="Resourced Provision - St Judes Catholic Primary School"/>
    <d v="2024-09-01T00:00:00"/>
    <m/>
    <x v="6"/>
    <x v="2"/>
    <d v="2025-09-01T00:00:00"/>
    <d v="2025-12-31T00:00:00"/>
    <n v="1"/>
  </r>
  <r>
    <x v="27"/>
    <m/>
    <m/>
    <m/>
    <m/>
    <m/>
    <n v="1"/>
    <n v="2"/>
    <x v="0"/>
    <s v="HAMPSHIRE"/>
    <s v="Resourced Provision - St Judes Catholic Primary School"/>
    <d v="2023-09-01T00:00:00"/>
    <m/>
    <x v="6"/>
    <x v="2"/>
    <d v="2025-09-01T00:00:00"/>
    <d v="2025-12-31T00:00:00"/>
    <n v="1"/>
  </r>
  <r>
    <x v="27"/>
    <m/>
    <m/>
    <m/>
    <m/>
    <m/>
    <n v="3"/>
    <n v="4"/>
    <x v="0"/>
    <s v="HAMPSHIRE"/>
    <s v="Resourced Provision - St Judes Catholic Primary School"/>
    <d v="2023-09-01T00:00:00"/>
    <m/>
    <x v="6"/>
    <x v="2"/>
    <d v="2025-09-01T00:00:00"/>
    <d v="2025-12-31T00:00:00"/>
    <n v="1"/>
  </r>
  <r>
    <x v="28"/>
    <m/>
    <m/>
    <m/>
    <m/>
    <m/>
    <n v="6"/>
    <n v="7"/>
    <x v="0"/>
    <s v="HAMPSHIRE"/>
    <s v="Resourced Provision - St Mark's CofE Primary"/>
    <d v="2023-09-01T00:00:00"/>
    <d v="2025-08-31T00:00:00"/>
    <x v="5"/>
    <x v="0"/>
    <s v=""/>
    <s v=""/>
    <n v="0"/>
  </r>
  <r>
    <x v="28"/>
    <m/>
    <m/>
    <m/>
    <m/>
    <m/>
    <n v="3"/>
    <n v="4"/>
    <x v="0"/>
    <s v="HAMPSHIRE"/>
    <s v="Resourced Provision - St Mark's CofE Primary"/>
    <d v="2024-09-01T00:00:00"/>
    <m/>
    <x v="5"/>
    <x v="0"/>
    <d v="2025-09-01T00:00:00"/>
    <d v="2025-12-31T00:00:00"/>
    <n v="1"/>
  </r>
  <r>
    <x v="28"/>
    <m/>
    <m/>
    <m/>
    <m/>
    <m/>
    <n v="4"/>
    <n v="5"/>
    <x v="0"/>
    <s v="HAMPSHIRE"/>
    <s v="Resourced Provision - St Mark's CofE Primary"/>
    <d v="2023-09-01T00:00:00"/>
    <m/>
    <x v="5"/>
    <x v="0"/>
    <d v="2025-09-01T00:00:00"/>
    <d v="2025-12-31T00:00:00"/>
    <n v="1"/>
  </r>
  <r>
    <x v="28"/>
    <m/>
    <m/>
    <m/>
    <m/>
    <m/>
    <n v="3"/>
    <n v="4"/>
    <x v="0"/>
    <s v="HAMPSHIRE"/>
    <s v="Resourced Provision - St Mark's CofE Primary"/>
    <d v="2024-09-01T00:00:00"/>
    <m/>
    <x v="5"/>
    <x v="0"/>
    <d v="2025-09-01T00:00:00"/>
    <d v="2025-12-31T00:00:00"/>
    <n v="1"/>
  </r>
  <r>
    <x v="28"/>
    <m/>
    <m/>
    <m/>
    <m/>
    <m/>
    <n v="1"/>
    <n v="2"/>
    <x v="0"/>
    <s v="HAMPSHIRE"/>
    <s v="Resourced Provision - St Mark's CofE Primary"/>
    <d v="2025-09-01T00:00:00"/>
    <m/>
    <x v="5"/>
    <x v="0"/>
    <d v="2025-09-01T00:00:00"/>
    <d v="2025-12-31T00:00:00"/>
    <n v="1"/>
  </r>
  <r>
    <x v="28"/>
    <m/>
    <m/>
    <m/>
    <m/>
    <m/>
    <n v="6"/>
    <n v="7"/>
    <x v="0"/>
    <s v="HAMPSHIRE"/>
    <s v="Resourced Provision - St Mark's CofE Primary"/>
    <d v="2021-06-07T00:00:00"/>
    <d v="2025-08-31T00:00:00"/>
    <x v="5"/>
    <x v="0"/>
    <s v=""/>
    <s v=""/>
    <n v="0"/>
  </r>
  <r>
    <x v="28"/>
    <m/>
    <m/>
    <m/>
    <m/>
    <m/>
    <n v="3"/>
    <n v="4"/>
    <x v="0"/>
    <s v="HAMPSHIRE"/>
    <s v="Resourced Provision - St Mark's CofE Primary"/>
    <d v="2025-09-01T00:00:00"/>
    <m/>
    <x v="5"/>
    <x v="0"/>
    <d v="2025-09-01T00:00:00"/>
    <d v="2025-12-31T00:00:00"/>
    <n v="1"/>
  </r>
  <r>
    <x v="28"/>
    <m/>
    <m/>
    <m/>
    <m/>
    <m/>
    <n v="6"/>
    <n v="7"/>
    <x v="0"/>
    <s v="HAMPSHIRE"/>
    <s v="Resourced Provision - St Mark's CofE Primary"/>
    <d v="2022-06-16T00:00:00"/>
    <d v="2025-08-31T00:00:00"/>
    <x v="5"/>
    <x v="0"/>
    <s v=""/>
    <s v=""/>
    <n v="0"/>
  </r>
  <r>
    <x v="28"/>
    <m/>
    <m/>
    <m/>
    <m/>
    <m/>
    <n v="1"/>
    <n v="2"/>
    <x v="0"/>
    <s v="HAMPSHIRE"/>
    <s v="Resourced Provision - St Mark's CofE Primary"/>
    <d v="2025-09-01T00:00:00"/>
    <m/>
    <x v="5"/>
    <x v="0"/>
    <d v="2025-09-01T00:00:00"/>
    <d v="2025-12-31T00:00:00"/>
    <n v="1"/>
  </r>
  <r>
    <x v="28"/>
    <m/>
    <m/>
    <m/>
    <m/>
    <m/>
    <n v="6"/>
    <n v="7"/>
    <x v="0"/>
    <s v="HAMPSHIRE"/>
    <s v="Resourced Provision - St Mark's CofE Primary"/>
    <d v="2024-09-01T00:00:00"/>
    <d v="2025-08-31T00:00:00"/>
    <x v="5"/>
    <x v="0"/>
    <s v=""/>
    <s v=""/>
    <n v="0"/>
  </r>
  <r>
    <x v="28"/>
    <m/>
    <m/>
    <m/>
    <m/>
    <m/>
    <n v="1"/>
    <n v="2"/>
    <x v="0"/>
    <s v="HAMPSHIRE"/>
    <s v="Resourced Provision - St Mark's CofE Primary"/>
    <d v="2025-09-01T00:00:00"/>
    <m/>
    <x v="5"/>
    <x v="0"/>
    <d v="2025-09-01T00:00:00"/>
    <d v="2025-12-31T00:00:00"/>
    <n v="1"/>
  </r>
  <r>
    <x v="29"/>
    <m/>
    <m/>
    <m/>
    <m/>
    <m/>
    <n v="9"/>
    <n v="10"/>
    <x v="0"/>
    <s v="HAMPSHIRE"/>
    <s v="Resourced Provision - Eggar's School"/>
    <d v="2022-09-01T00:00:00"/>
    <m/>
    <x v="7"/>
    <x v="0"/>
    <d v="2025-09-01T00:00:00"/>
    <d v="2025-12-31T00:00:00"/>
    <n v="1"/>
  </r>
  <r>
    <x v="29"/>
    <m/>
    <m/>
    <m/>
    <m/>
    <m/>
    <n v="11"/>
    <n v="12"/>
    <x v="0"/>
    <s v="HAMPSHIRE"/>
    <s v="Resourced Provision - Eggar's School"/>
    <d v="2020-09-01T00:00:00"/>
    <d v="2025-08-31T00:00:00"/>
    <x v="7"/>
    <x v="0"/>
    <s v=""/>
    <s v=""/>
    <n v="0"/>
  </r>
  <r>
    <x v="30"/>
    <m/>
    <m/>
    <m/>
    <m/>
    <m/>
    <n v="8"/>
    <n v="9"/>
    <x v="0"/>
    <s v="HAMPSHIRE"/>
    <s v="Resourced Provision - Oakmoor  Academy"/>
    <d v="2023-09-01T00:00:00"/>
    <m/>
    <x v="3"/>
    <x v="0"/>
    <d v="2025-09-01T00:00:00"/>
    <d v="2025-12-31T00:00:00"/>
    <n v="1"/>
  </r>
  <r>
    <x v="30"/>
    <m/>
    <m/>
    <m/>
    <m/>
    <m/>
    <n v="7"/>
    <n v="8"/>
    <x v="0"/>
    <s v="HAMPSHIRE"/>
    <s v="Resourced Provision - Oakmoor  Academy"/>
    <d v="2024-09-01T00:00:00"/>
    <m/>
    <x v="3"/>
    <x v="0"/>
    <d v="2025-09-01T00:00:00"/>
    <d v="2025-12-31T00:00:00"/>
    <n v="1"/>
  </r>
  <r>
    <x v="30"/>
    <m/>
    <m/>
    <m/>
    <m/>
    <m/>
    <n v="11"/>
    <n v="12"/>
    <x v="0"/>
    <s v="HAMPSHIRE"/>
    <s v="Resourced Provision - Oakmoor  Academy"/>
    <d v="2020-09-01T00:00:00"/>
    <d v="2025-08-31T00:00:00"/>
    <x v="3"/>
    <x v="0"/>
    <s v=""/>
    <s v=""/>
    <n v="0"/>
  </r>
  <r>
    <x v="30"/>
    <m/>
    <m/>
    <m/>
    <m/>
    <m/>
    <n v="8"/>
    <n v="9"/>
    <x v="0"/>
    <s v="HAMPSHIRE"/>
    <s v="Resourced Provision - Oakmoor  Academy"/>
    <d v="2023-09-01T00:00:00"/>
    <m/>
    <x v="3"/>
    <x v="0"/>
    <d v="2025-09-01T00:00:00"/>
    <d v="2025-12-31T00:00:00"/>
    <n v="1"/>
  </r>
  <r>
    <x v="31"/>
    <m/>
    <m/>
    <m/>
    <m/>
    <m/>
    <n v="5"/>
    <n v="6"/>
    <x v="0"/>
    <s v="HAMPSHIRE"/>
    <s v="Resourced Provision (ASC) - The Cowplain School"/>
    <d v="2025-09-01T00:00:00"/>
    <m/>
    <x v="4"/>
    <x v="0"/>
    <d v="2025-09-01T00:00:00"/>
    <d v="2025-12-31T00:00:00"/>
    <n v="1"/>
  </r>
  <r>
    <x v="31"/>
    <m/>
    <m/>
    <m/>
    <m/>
    <m/>
    <n v="9"/>
    <n v="10"/>
    <x v="0"/>
    <s v="HAMPSHIRE"/>
    <s v="Resourced Provision (ASC) - The Cowplain School"/>
    <d v="2022-09-01T00:00:00"/>
    <m/>
    <x v="4"/>
    <x v="0"/>
    <d v="2025-09-01T00:00:00"/>
    <d v="2025-12-31T00:00:00"/>
    <n v="1"/>
  </r>
  <r>
    <x v="31"/>
    <m/>
    <m/>
    <m/>
    <m/>
    <m/>
    <n v="7"/>
    <n v="8"/>
    <x v="0"/>
    <s v="HAMPSHIRE"/>
    <s v="Resourced Provision (ASC) - The Cowplain School"/>
    <d v="2024-09-01T00:00:00"/>
    <m/>
    <x v="4"/>
    <x v="0"/>
    <d v="2025-09-01T00:00:00"/>
    <d v="2025-12-31T00:00:00"/>
    <n v="1"/>
  </r>
  <r>
    <x v="31"/>
    <m/>
    <m/>
    <m/>
    <m/>
    <m/>
    <n v="7"/>
    <n v="8"/>
    <x v="0"/>
    <s v="HAMPSHIRE"/>
    <s v="Resourced Provision (ASC) - The Cowplain School"/>
    <d v="2024-09-01T00:00:00"/>
    <m/>
    <x v="4"/>
    <x v="0"/>
    <d v="2025-09-01T00:00:00"/>
    <d v="2025-12-31T00:00:00"/>
    <n v="1"/>
  </r>
  <r>
    <x v="31"/>
    <m/>
    <m/>
    <m/>
    <m/>
    <m/>
    <n v="6"/>
    <n v="7"/>
    <x v="0"/>
    <s v="HAMPSHIRE"/>
    <s v="Resourced Provision (ASC) - The Cowplain School"/>
    <d v="2025-09-01T00:00:00"/>
    <m/>
    <x v="4"/>
    <x v="0"/>
    <d v="2025-09-01T00:00:00"/>
    <d v="2025-12-31T00:00:00"/>
    <n v="1"/>
  </r>
  <r>
    <x v="31"/>
    <m/>
    <m/>
    <m/>
    <m/>
    <m/>
    <n v="8"/>
    <n v="9"/>
    <x v="0"/>
    <s v="HAMPSHIRE"/>
    <s v="Resourced Provision (ASC) - The Cowplain School"/>
    <d v="2023-09-01T00:00:00"/>
    <d v="2025-08-31T00:00:00"/>
    <x v="4"/>
    <x v="0"/>
    <s v=""/>
    <s v=""/>
    <n v="0"/>
  </r>
  <r>
    <x v="31"/>
    <m/>
    <m/>
    <m/>
    <m/>
    <m/>
    <n v="11"/>
    <n v="12"/>
    <x v="0"/>
    <s v="HAMPSHIRE"/>
    <s v="Resourced Provision (ASC) - The Cowplain School"/>
    <d v="2020-09-01T00:00:00"/>
    <d v="2025-08-31T00:00:00"/>
    <x v="4"/>
    <x v="0"/>
    <s v=""/>
    <s v=""/>
    <n v="0"/>
  </r>
  <r>
    <x v="31"/>
    <m/>
    <m/>
    <m/>
    <m/>
    <m/>
    <n v="11"/>
    <n v="12"/>
    <x v="0"/>
    <s v="HAMPSHIRE"/>
    <s v="Resourced Provision (ASC) - The Cowplain School"/>
    <d v="2020-09-01T00:00:00"/>
    <d v="2025-08-31T00:00:00"/>
    <x v="4"/>
    <x v="0"/>
    <s v=""/>
    <s v=""/>
    <n v="0"/>
  </r>
  <r>
    <x v="31"/>
    <m/>
    <m/>
    <m/>
    <m/>
    <m/>
    <n v="5"/>
    <n v="6"/>
    <x v="0"/>
    <s v="HAMPSHIRE"/>
    <s v="Resourced Provision (SPLD) - The Cowplain School"/>
    <d v="2025-09-01T00:00:00"/>
    <m/>
    <x v="7"/>
    <x v="0"/>
    <d v="2025-09-01T00:00:00"/>
    <d v="2025-12-31T00:00:00"/>
    <n v="1"/>
  </r>
  <r>
    <x v="31"/>
    <m/>
    <m/>
    <m/>
    <m/>
    <m/>
    <n v="7"/>
    <n v="8"/>
    <x v="0"/>
    <s v="HAMPSHIRE"/>
    <s v="Resourced Provision (ASC) - The Cowplain School"/>
    <d v="2024-09-01T00:00:00"/>
    <d v="2025-04-23T00:00:00"/>
    <x v="4"/>
    <x v="0"/>
    <s v=""/>
    <s v=""/>
    <n v="0"/>
  </r>
  <r>
    <x v="31"/>
    <m/>
    <m/>
    <m/>
    <m/>
    <m/>
    <n v="7"/>
    <n v="8"/>
    <x v="0"/>
    <s v="HAMPSHIRE"/>
    <s v="Resourced Provision (ASC) - The Cowplain School"/>
    <d v="2024-09-01T00:00:00"/>
    <m/>
    <x v="4"/>
    <x v="0"/>
    <d v="2025-09-01T00:00:00"/>
    <d v="2025-12-31T00:00:00"/>
    <n v="1"/>
  </r>
  <r>
    <x v="31"/>
    <m/>
    <m/>
    <m/>
    <m/>
    <m/>
    <n v="5"/>
    <n v="6"/>
    <x v="0"/>
    <s v="HAMPSHIRE"/>
    <s v="Resourced Provision (ASC) - The Cowplain School"/>
    <d v="2025-09-01T00:00:00"/>
    <m/>
    <x v="4"/>
    <x v="0"/>
    <d v="2025-09-01T00:00:00"/>
    <d v="2025-12-31T00:00:00"/>
    <n v="1"/>
  </r>
  <r>
    <x v="31"/>
    <m/>
    <m/>
    <m/>
    <m/>
    <m/>
    <n v="7"/>
    <n v="8"/>
    <x v="0"/>
    <s v="HAMPSHIRE"/>
    <s v="Resourced Provision (ASC) - The Cowplain School"/>
    <d v="2024-09-01T00:00:00"/>
    <m/>
    <x v="4"/>
    <x v="0"/>
    <d v="2025-09-01T00:00:00"/>
    <d v="2025-12-31T00:00:00"/>
    <n v="1"/>
  </r>
  <r>
    <x v="31"/>
    <m/>
    <m/>
    <m/>
    <m/>
    <m/>
    <n v="7"/>
    <n v="8"/>
    <x v="0"/>
    <s v="HAMPSHIRE"/>
    <s v="Resourced Provision (ASC) - The Cowplain School"/>
    <d v="2024-09-01T00:00:00"/>
    <m/>
    <x v="4"/>
    <x v="0"/>
    <d v="2025-09-01T00:00:00"/>
    <d v="2025-12-31T00:00:00"/>
    <n v="1"/>
  </r>
  <r>
    <x v="31"/>
    <m/>
    <m/>
    <m/>
    <m/>
    <m/>
    <n v="9"/>
    <n v="10"/>
    <x v="0"/>
    <s v="HAMPSHIRE"/>
    <s v="Resourced Provision (SPLD) - The Cowplain School"/>
    <d v="2022-09-01T00:00:00"/>
    <m/>
    <x v="7"/>
    <x v="0"/>
    <d v="2025-09-01T00:00:00"/>
    <d v="2025-12-31T00:00:00"/>
    <n v="1"/>
  </r>
  <r>
    <x v="31"/>
    <m/>
    <m/>
    <m/>
    <m/>
    <m/>
    <n v="5"/>
    <n v="6"/>
    <x v="0"/>
    <s v="HAMPSHIRE"/>
    <s v="Resourced Provision (ASC) - The Cowplain School"/>
    <d v="2025-09-01T00:00:00"/>
    <m/>
    <x v="4"/>
    <x v="0"/>
    <d v="2025-09-01T00:00:00"/>
    <d v="2025-12-31T00:00:00"/>
    <n v="1"/>
  </r>
  <r>
    <x v="31"/>
    <m/>
    <m/>
    <m/>
    <m/>
    <m/>
    <n v="9"/>
    <n v="10"/>
    <x v="0"/>
    <s v="HAMPSHIRE"/>
    <s v="Resourced Provision (ASC) - The Cowplain School"/>
    <d v="2022-09-01T00:00:00"/>
    <m/>
    <x v="4"/>
    <x v="0"/>
    <d v="2025-09-01T00:00:00"/>
    <d v="2025-12-31T00:00:00"/>
    <n v="1"/>
  </r>
  <r>
    <x v="32"/>
    <m/>
    <m/>
    <m/>
    <m/>
    <m/>
    <n v="7"/>
    <n v="8"/>
    <x v="0"/>
    <s v="HAMPSHIRE"/>
    <s v="Resourced Provision - The Toynbee School"/>
    <d v="2024-09-01T00:00:00"/>
    <m/>
    <x v="1"/>
    <x v="1"/>
    <d v="2025-09-01T00:00:00"/>
    <d v="2025-12-31T00:00:00"/>
    <n v="1"/>
  </r>
  <r>
    <x v="32"/>
    <m/>
    <m/>
    <m/>
    <m/>
    <m/>
    <n v="7"/>
    <n v="8"/>
    <x v="0"/>
    <s v="HAMPSHIRE"/>
    <s v="Resourced Provision - The Toynbee School"/>
    <d v="2024-09-01T00:00:00"/>
    <m/>
    <x v="1"/>
    <x v="0"/>
    <d v="2025-09-01T00:00:00"/>
    <d v="2025-12-31T00:00:00"/>
    <n v="1"/>
  </r>
  <r>
    <x v="32"/>
    <m/>
    <m/>
    <m/>
    <m/>
    <m/>
    <n v="7"/>
    <n v="8"/>
    <x v="0"/>
    <s v="HAMPSHIRE"/>
    <s v="Resourced Provision - The Toynbee School"/>
    <d v="2024-09-01T00:00:00"/>
    <m/>
    <x v="1"/>
    <x v="0"/>
    <d v="2025-09-01T00:00:00"/>
    <d v="2025-12-31T00:00:00"/>
    <n v="1"/>
  </r>
  <r>
    <x v="32"/>
    <m/>
    <m/>
    <m/>
    <m/>
    <m/>
    <n v="8"/>
    <n v="9"/>
    <x v="0"/>
    <s v="HAMPSHIRE"/>
    <s v="Resourced Provision - The Toynbee School"/>
    <d v="2023-09-01T00:00:00"/>
    <m/>
    <x v="1"/>
    <x v="0"/>
    <d v="2025-09-01T00:00:00"/>
    <d v="2025-12-31T00:00:00"/>
    <n v="1"/>
  </r>
  <r>
    <x v="32"/>
    <m/>
    <m/>
    <m/>
    <m/>
    <m/>
    <n v="9"/>
    <n v="10"/>
    <x v="0"/>
    <s v="HAMPSHIRE"/>
    <s v="Resourced Provision - The Toynbee School"/>
    <d v="2022-09-01T00:00:00"/>
    <m/>
    <x v="1"/>
    <x v="0"/>
    <d v="2025-09-01T00:00:00"/>
    <d v="2025-12-31T00:00:00"/>
    <n v="1"/>
  </r>
  <r>
    <x v="32"/>
    <m/>
    <m/>
    <m/>
    <m/>
    <m/>
    <n v="10"/>
    <n v="11"/>
    <x v="0"/>
    <s v="HAMPSHIRE"/>
    <s v="Resourced Provision - The Toynbee School"/>
    <d v="2021-09-01T00:00:00"/>
    <m/>
    <x v="1"/>
    <x v="0"/>
    <d v="2025-09-01T00:00:00"/>
    <d v="2025-12-31T00:00:00"/>
    <n v="1"/>
  </r>
  <r>
    <x v="32"/>
    <m/>
    <m/>
    <m/>
    <m/>
    <m/>
    <n v="11"/>
    <n v="12"/>
    <x v="0"/>
    <s v="HAMPSHIRE"/>
    <s v="Resourced Provision - The Toynbee School"/>
    <d v="2020-09-01T00:00:00"/>
    <d v="2025-08-31T00:00:00"/>
    <x v="1"/>
    <x v="1"/>
    <s v=""/>
    <s v=""/>
    <n v="0"/>
  </r>
  <r>
    <x v="32"/>
    <m/>
    <m/>
    <m/>
    <m/>
    <m/>
    <n v="10"/>
    <n v="11"/>
    <x v="0"/>
    <s v="HAMPSHIRE"/>
    <s v="Resourced Provision - The Toynbee School"/>
    <d v="2021-09-01T00:00:00"/>
    <m/>
    <x v="1"/>
    <x v="0"/>
    <d v="2025-09-01T00:00:00"/>
    <d v="2025-12-31T00:00:00"/>
    <n v="1"/>
  </r>
  <r>
    <x v="32"/>
    <m/>
    <m/>
    <m/>
    <m/>
    <m/>
    <n v="10"/>
    <n v="11"/>
    <x v="0"/>
    <s v="HAMPSHIRE"/>
    <s v="Resourced Provision - The Toynbee School"/>
    <d v="2021-09-02T00:00:00"/>
    <m/>
    <x v="1"/>
    <x v="0"/>
    <d v="2025-09-01T00:00:00"/>
    <d v="2025-12-31T00:00:00"/>
    <n v="1"/>
  </r>
  <r>
    <x v="32"/>
    <m/>
    <m/>
    <m/>
    <m/>
    <m/>
    <n v="10"/>
    <n v="11"/>
    <x v="0"/>
    <s v="HAMPSHIRE"/>
    <s v="Resourced Provision - The Toynbee School"/>
    <d v="2021-09-01T00:00:00"/>
    <m/>
    <x v="1"/>
    <x v="0"/>
    <d v="2025-09-01T00:00:00"/>
    <d v="2025-12-31T00:00:00"/>
    <n v="1"/>
  </r>
  <r>
    <x v="32"/>
    <m/>
    <m/>
    <m/>
    <m/>
    <m/>
    <n v="11"/>
    <n v="12"/>
    <x v="0"/>
    <s v="HAMPSHIRE"/>
    <s v="Resourced Provision - The Toynbee School"/>
    <d v="2020-09-01T00:00:00"/>
    <d v="2025-08-31T00:00:00"/>
    <x v="1"/>
    <x v="0"/>
    <s v=""/>
    <s v=""/>
    <n v="0"/>
  </r>
  <r>
    <x v="32"/>
    <m/>
    <m/>
    <m/>
    <m/>
    <m/>
    <n v="7"/>
    <n v="8"/>
    <x v="0"/>
    <s v="HAMPSHIRE"/>
    <s v="Resourced Provision - The Toynbee School"/>
    <d v="2024-09-01T00:00:00"/>
    <m/>
    <x v="1"/>
    <x v="0"/>
    <d v="2025-09-01T00:00:00"/>
    <d v="2025-12-31T00:00:00"/>
    <n v="1"/>
  </r>
  <r>
    <x v="32"/>
    <m/>
    <m/>
    <m/>
    <m/>
    <m/>
    <n v="9"/>
    <n v="10"/>
    <x v="0"/>
    <s v="HAMPSHIRE"/>
    <s v="Resourced Provision - The Toynbee School"/>
    <d v="2022-09-01T00:00:00"/>
    <m/>
    <x v="1"/>
    <x v="0"/>
    <d v="2025-09-01T00:00:00"/>
    <d v="2025-12-31T00:00:00"/>
    <n v="1"/>
  </r>
  <r>
    <x v="33"/>
    <m/>
    <m/>
    <m/>
    <m/>
    <m/>
    <n v="11"/>
    <n v="12"/>
    <x v="0"/>
    <s v="HAMPSHIRE"/>
    <s v="Resourced Provision - (PD - S) Noadswood School"/>
    <d v="2020-09-09T00:00:00"/>
    <d v="2025-08-31T00:00:00"/>
    <x v="8"/>
    <x v="0"/>
    <s v=""/>
    <s v=""/>
    <n v="0"/>
  </r>
  <r>
    <x v="33"/>
    <m/>
    <m/>
    <m/>
    <m/>
    <m/>
    <n v="10"/>
    <n v="11"/>
    <x v="0"/>
    <s v="HAMPSHIRE"/>
    <s v="Resourced Provision (SEMH) - Noadswood School"/>
    <d v="2021-09-01T00:00:00"/>
    <m/>
    <x v="5"/>
    <x v="0"/>
    <d v="2025-09-01T00:00:00"/>
    <d v="2025-12-31T00:00:00"/>
    <n v="1"/>
  </r>
  <r>
    <x v="33"/>
    <m/>
    <m/>
    <m/>
    <m/>
    <m/>
    <n v="9"/>
    <n v="10"/>
    <x v="0"/>
    <s v="HAMPSHIRE"/>
    <s v="Resourced Provision - (PD - S) Noadswood School"/>
    <d v="2022-09-01T00:00:00"/>
    <m/>
    <x v="8"/>
    <x v="0"/>
    <d v="2025-09-01T00:00:00"/>
    <d v="2025-12-31T00:00:00"/>
    <n v="1"/>
  </r>
  <r>
    <x v="33"/>
    <m/>
    <m/>
    <m/>
    <m/>
    <m/>
    <n v="8"/>
    <n v="9"/>
    <x v="0"/>
    <s v="HAMPSHIRE"/>
    <s v="Resourced Provision (SEMH) - Noadswood School"/>
    <d v="2023-09-01T00:00:00"/>
    <m/>
    <x v="5"/>
    <x v="0"/>
    <d v="2025-09-01T00:00:00"/>
    <d v="2025-12-31T00:00:00"/>
    <n v="1"/>
  </r>
  <r>
    <x v="33"/>
    <m/>
    <m/>
    <m/>
    <m/>
    <m/>
    <n v="7"/>
    <n v="8"/>
    <x v="0"/>
    <s v="HAMPSHIRE"/>
    <s v="Resourced Provision (SEMH) - Noadswood School"/>
    <d v="2024-09-01T00:00:00"/>
    <m/>
    <x v="5"/>
    <x v="0"/>
    <d v="2025-09-01T00:00:00"/>
    <d v="2025-12-31T00:00:00"/>
    <n v="1"/>
  </r>
  <r>
    <x v="33"/>
    <m/>
    <m/>
    <m/>
    <m/>
    <m/>
    <n v="7"/>
    <n v="8"/>
    <x v="0"/>
    <s v="HAMPSHIRE"/>
    <s v="Resourced Provision (SEMH) - Noadswood School"/>
    <d v="2024-12-09T00:00:00"/>
    <m/>
    <x v="5"/>
    <x v="0"/>
    <d v="2025-09-01T00:00:00"/>
    <d v="2025-12-31T00:00:00"/>
    <n v="1"/>
  </r>
  <r>
    <x v="33"/>
    <m/>
    <m/>
    <m/>
    <m/>
    <m/>
    <n v="10"/>
    <n v="11"/>
    <x v="0"/>
    <s v="HAMPSHIRE"/>
    <s v="Resourced Provision (SEMH) - Noadswood School"/>
    <d v="2021-09-01T00:00:00"/>
    <m/>
    <x v="5"/>
    <x v="0"/>
    <d v="2025-09-01T00:00:00"/>
    <d v="2025-12-31T00:00:00"/>
    <n v="1"/>
  </r>
  <r>
    <x v="33"/>
    <m/>
    <m/>
    <m/>
    <m/>
    <m/>
    <n v="9"/>
    <n v="10"/>
    <x v="0"/>
    <s v="HAMPSHIRE"/>
    <s v="Resourced Provision (SEMH) - Noadswood School"/>
    <d v="2022-09-01T00:00:00"/>
    <m/>
    <x v="5"/>
    <x v="0"/>
    <d v="2025-09-01T00:00:00"/>
    <d v="2025-12-31T00:00:00"/>
    <n v="1"/>
  </r>
  <r>
    <x v="33"/>
    <m/>
    <m/>
    <m/>
    <m/>
    <m/>
    <n v="7"/>
    <n v="8"/>
    <x v="0"/>
    <s v="HAMPSHIRE"/>
    <s v="Resourced Provision (SEMH) - Noadswood School"/>
    <d v="2025-06-23T00:00:00"/>
    <m/>
    <x v="5"/>
    <x v="0"/>
    <d v="2025-09-01T00:00:00"/>
    <d v="2025-12-31T00:00:00"/>
    <n v="1"/>
  </r>
  <r>
    <x v="33"/>
    <m/>
    <m/>
    <m/>
    <m/>
    <m/>
    <n v="8"/>
    <n v="9"/>
    <x v="0"/>
    <s v="HAMPSHIRE"/>
    <s v="Resourced Provision (SEMH) - Noadswood School"/>
    <d v="2023-09-01T00:00:00"/>
    <m/>
    <x v="5"/>
    <x v="0"/>
    <d v="2025-09-01T00:00:00"/>
    <d v="2025-12-31T00:00:00"/>
    <n v="1"/>
  </r>
  <r>
    <x v="33"/>
    <m/>
    <m/>
    <m/>
    <m/>
    <m/>
    <n v="9"/>
    <n v="10"/>
    <x v="0"/>
    <s v="HAMPSHIRE"/>
    <s v="Resourced Provision (SEMH) - Noadswood School"/>
    <d v="2022-09-01T00:00:00"/>
    <m/>
    <x v="5"/>
    <x v="0"/>
    <d v="2025-09-01T00:00:00"/>
    <d v="2025-12-31T00:00:00"/>
    <n v="1"/>
  </r>
  <r>
    <x v="33"/>
    <m/>
    <m/>
    <m/>
    <m/>
    <m/>
    <n v="8"/>
    <n v="9"/>
    <x v="0"/>
    <s v="HAMPSHIRE"/>
    <s v="Resourced Provision (SEMH) - Noadswood School"/>
    <d v="2023-09-01T00:00:00"/>
    <m/>
    <x v="5"/>
    <x v="0"/>
    <d v="2025-09-01T00:00:00"/>
    <d v="2025-12-31T00:00:00"/>
    <n v="1"/>
  </r>
  <r>
    <x v="33"/>
    <m/>
    <m/>
    <m/>
    <m/>
    <m/>
    <n v="10"/>
    <n v="11"/>
    <x v="0"/>
    <s v="HAMPSHIRE"/>
    <s v="Resourced Provision (SEMH) - Noadswood School"/>
    <d v="2022-09-01T00:00:00"/>
    <m/>
    <x v="5"/>
    <x v="0"/>
    <d v="2025-09-01T00:00:00"/>
    <d v="2025-12-31T00:00:00"/>
    <n v="1"/>
  </r>
  <r>
    <x v="33"/>
    <m/>
    <m/>
    <m/>
    <m/>
    <m/>
    <n v="8"/>
    <n v="9"/>
    <x v="0"/>
    <s v="HAMPSHIRE"/>
    <s v="Resourced Provision (SEMH) - Noadswood School"/>
    <d v="2023-09-01T00:00:00"/>
    <m/>
    <x v="5"/>
    <x v="0"/>
    <d v="2025-09-01T00:00:00"/>
    <d v="2025-12-31T00:00:00"/>
    <n v="1"/>
  </r>
  <r>
    <x v="33"/>
    <m/>
    <m/>
    <m/>
    <m/>
    <m/>
    <n v="8"/>
    <n v="9"/>
    <x v="0"/>
    <s v="HAMPSHIRE"/>
    <s v="Resourced Provision - (PD - S) Noadswood School"/>
    <d v="2023-09-01T00:00:00"/>
    <m/>
    <x v="8"/>
    <x v="0"/>
    <d v="2025-09-01T00:00:00"/>
    <d v="2025-12-31T00:00:00"/>
    <n v="1"/>
  </r>
  <r>
    <x v="33"/>
    <m/>
    <m/>
    <m/>
    <m/>
    <m/>
    <n v="10"/>
    <n v="11"/>
    <x v="0"/>
    <s v="HAMPSHIRE"/>
    <s v="Resourced Provision (SEMH) - Noadswood School"/>
    <d v="2021-09-01T00:00:00"/>
    <m/>
    <x v="5"/>
    <x v="0"/>
    <d v="2025-09-01T00:00:00"/>
    <d v="2025-12-31T00:00:00"/>
    <n v="1"/>
  </r>
  <r>
    <x v="34"/>
    <m/>
    <m/>
    <m/>
    <m/>
    <m/>
    <n v="7"/>
    <n v="8"/>
    <x v="0"/>
    <s v="HAMPSHIRE"/>
    <s v="Resourced Provision - Perins School"/>
    <d v="2025-09-01T00:00:00"/>
    <m/>
    <x v="5"/>
    <x v="0"/>
    <d v="2025-09-01T00:00:00"/>
    <d v="2025-12-31T00:00:00"/>
    <n v="1"/>
  </r>
  <r>
    <x v="34"/>
    <m/>
    <m/>
    <m/>
    <m/>
    <m/>
    <n v="8"/>
    <n v="9"/>
    <x v="0"/>
    <s v="HAMPSHIRE"/>
    <s v="Resourced Provision - Perins School"/>
    <d v="2025-02-10T00:00:00"/>
    <d v="2025-06-26T00:00:00"/>
    <x v="5"/>
    <x v="0"/>
    <s v=""/>
    <s v=""/>
    <n v="0"/>
  </r>
  <r>
    <x v="34"/>
    <m/>
    <m/>
    <m/>
    <m/>
    <m/>
    <n v="8"/>
    <n v="9"/>
    <x v="0"/>
    <s v="HAMPSHIRE"/>
    <s v="Resourced Provision - Perins School"/>
    <d v="2024-09-05T00:00:00"/>
    <m/>
    <x v="5"/>
    <x v="0"/>
    <d v="2025-09-01T00:00:00"/>
    <d v="2025-12-31T00:00:00"/>
    <n v="1"/>
  </r>
  <r>
    <x v="34"/>
    <m/>
    <m/>
    <m/>
    <m/>
    <m/>
    <n v="6"/>
    <n v="7"/>
    <x v="0"/>
    <s v="HAMPSHIRE"/>
    <s v="Resourced Provision - Perins School"/>
    <d v="2025-09-01T00:00:00"/>
    <d v="2025-10-22T00:00:00"/>
    <x v="5"/>
    <x v="0"/>
    <d v="2025-09-01T00:00:00"/>
    <d v="2025-10-22T00:00:00"/>
    <n v="0.43"/>
  </r>
  <r>
    <x v="34"/>
    <m/>
    <m/>
    <m/>
    <m/>
    <m/>
    <n v="6"/>
    <n v="7"/>
    <x v="0"/>
    <s v="HAMPSHIRE"/>
    <s v="Resourced Provision - Perins School"/>
    <d v="2025-09-01T00:00:00"/>
    <m/>
    <x v="5"/>
    <x v="0"/>
    <d v="2025-09-01T00:00:00"/>
    <d v="2025-12-31T00:00:00"/>
    <n v="1"/>
  </r>
  <r>
    <x v="34"/>
    <m/>
    <m/>
    <m/>
    <m/>
    <m/>
    <n v="6"/>
    <n v="7"/>
    <x v="0"/>
    <s v="HAMPSHIRE"/>
    <s v="Resourced Provision - Perins School"/>
    <d v="2025-09-01T00:00:00"/>
    <d v="2025-11-18T00:00:00"/>
    <x v="5"/>
    <x v="0"/>
    <d v="2025-09-01T00:00:00"/>
    <d v="2025-11-18T00:00:00"/>
    <n v="0.65"/>
  </r>
  <r>
    <x v="34"/>
    <m/>
    <m/>
    <m/>
    <m/>
    <m/>
    <n v="7"/>
    <n v="8"/>
    <x v="0"/>
    <s v="HAMPSHIRE"/>
    <s v="Resourced Provision - Perins School"/>
    <d v="2024-11-25T00:00:00"/>
    <m/>
    <x v="5"/>
    <x v="0"/>
    <d v="2025-09-01T00:00:00"/>
    <d v="2025-12-31T00:00:00"/>
    <n v="1"/>
  </r>
  <r>
    <x v="34"/>
    <m/>
    <m/>
    <m/>
    <m/>
    <m/>
    <n v="7"/>
    <n v="8"/>
    <x v="0"/>
    <s v="HAMPSHIRE"/>
    <s v="Resourced Provision - Perins School"/>
    <d v="2024-09-05T00:00:00"/>
    <m/>
    <x v="5"/>
    <x v="0"/>
    <d v="2025-09-01T00:00:00"/>
    <d v="2025-12-31T00:00:00"/>
    <n v="1"/>
  </r>
  <r>
    <x v="34"/>
    <m/>
    <m/>
    <m/>
    <m/>
    <m/>
    <n v="8"/>
    <n v="9"/>
    <x v="0"/>
    <s v="HAMPSHIRE"/>
    <s v="Resourced Provision - Perins School"/>
    <d v="2024-10-07T00:00:00"/>
    <m/>
    <x v="5"/>
    <x v="0"/>
    <d v="2025-09-01T00:00:00"/>
    <d v="2025-12-31T00:00:00"/>
    <n v="1"/>
  </r>
  <r>
    <x v="34"/>
    <m/>
    <m/>
    <m/>
    <m/>
    <m/>
    <n v="9"/>
    <n v="10"/>
    <x v="0"/>
    <s v="HAMPSHIRE"/>
    <s v="Resourced Provision - Perins School"/>
    <d v="2024-11-19T00:00:00"/>
    <m/>
    <x v="5"/>
    <x v="0"/>
    <d v="2025-09-01T00:00:00"/>
    <d v="2025-12-31T00:00:00"/>
    <n v="1"/>
  </r>
  <r>
    <x v="34"/>
    <m/>
    <m/>
    <m/>
    <m/>
    <m/>
    <n v="6"/>
    <n v="7"/>
    <x v="0"/>
    <s v="HAMPSHIRE"/>
    <s v="Resourced Provision - Perins School"/>
    <d v="2025-09-01T00:00:00"/>
    <m/>
    <x v="5"/>
    <x v="0"/>
    <d v="2025-09-01T00:00:00"/>
    <d v="2025-12-31T00:00:00"/>
    <n v="1"/>
  </r>
  <r>
    <x v="35"/>
    <m/>
    <m/>
    <m/>
    <m/>
    <m/>
    <n v="7"/>
    <n v="8"/>
    <x v="0"/>
    <s v="HAMPSHIRE"/>
    <s v="Resourced Provision - Portchester Community School"/>
    <d v="2025-09-01T00:00:00"/>
    <m/>
    <x v="9"/>
    <x v="0"/>
    <d v="2025-09-01T00:00:00"/>
    <d v="2025-12-31T00:00:00"/>
    <n v="1"/>
  </r>
  <r>
    <x v="35"/>
    <m/>
    <m/>
    <m/>
    <m/>
    <m/>
    <n v="9"/>
    <n v="10"/>
    <x v="0"/>
    <s v="HAMPSHIRE"/>
    <s v="Resourced Provision - Portchester Community School"/>
    <d v="2025-03-19T00:00:00"/>
    <m/>
    <x v="9"/>
    <x v="0"/>
    <d v="2025-09-01T00:00:00"/>
    <d v="2025-12-31T00:00:00"/>
    <n v="1"/>
  </r>
  <r>
    <x v="35"/>
    <m/>
    <m/>
    <m/>
    <m/>
    <m/>
    <n v="11"/>
    <n v="12"/>
    <x v="0"/>
    <s v="HAMPSHIRE"/>
    <s v="Resourced Provision - Portchester Community School"/>
    <d v="2020-09-01T00:00:00"/>
    <d v="2025-08-31T00:00:00"/>
    <x v="9"/>
    <x v="0"/>
    <s v=""/>
    <s v=""/>
    <n v="0"/>
  </r>
  <r>
    <x v="35"/>
    <m/>
    <m/>
    <m/>
    <m/>
    <m/>
    <n v="7"/>
    <n v="8"/>
    <x v="0"/>
    <s v="HAMPSHIRE"/>
    <s v="Resourced Provision - Portchester Community School"/>
    <d v="2024-09-01T00:00:00"/>
    <m/>
    <x v="9"/>
    <x v="0"/>
    <d v="2025-09-01T00:00:00"/>
    <d v="2025-12-31T00:00:00"/>
    <n v="1"/>
  </r>
  <r>
    <x v="35"/>
    <m/>
    <m/>
    <m/>
    <m/>
    <m/>
    <n v="11"/>
    <n v="12"/>
    <x v="0"/>
    <s v="HAMPSHIRE"/>
    <s v="Resourced Provision - Portchester Community School"/>
    <d v="2020-09-01T00:00:00"/>
    <d v="2025-08-31T00:00:00"/>
    <x v="9"/>
    <x v="0"/>
    <s v=""/>
    <s v=""/>
    <n v="0"/>
  </r>
  <r>
    <x v="35"/>
    <m/>
    <m/>
    <m/>
    <m/>
    <m/>
    <n v="10"/>
    <n v="11"/>
    <x v="0"/>
    <s v="HAMPSHIRE"/>
    <s v="Resourced Provision - Portchester Community School"/>
    <d v="2022-02-28T00:00:00"/>
    <m/>
    <x v="9"/>
    <x v="0"/>
    <d v="2025-09-01T00:00:00"/>
    <d v="2025-12-31T00:00:00"/>
    <n v="1"/>
  </r>
  <r>
    <x v="35"/>
    <m/>
    <m/>
    <m/>
    <m/>
    <m/>
    <n v="7"/>
    <n v="8"/>
    <x v="0"/>
    <s v="HAMPSHIRE"/>
    <s v="Resourced Provision - Portchester Community School"/>
    <d v="2024-09-01T00:00:00"/>
    <m/>
    <x v="9"/>
    <x v="0"/>
    <d v="2025-09-01T00:00:00"/>
    <d v="2025-12-31T00:00:00"/>
    <n v="1"/>
  </r>
  <r>
    <x v="35"/>
    <m/>
    <m/>
    <m/>
    <m/>
    <m/>
    <n v="7"/>
    <n v="8"/>
    <x v="0"/>
    <s v="HAMPSHIRE"/>
    <s v="Resourced Provision - Portchester Community School"/>
    <d v="2024-09-01T00:00:00"/>
    <m/>
    <x v="9"/>
    <x v="0"/>
    <d v="2025-09-01T00:00:00"/>
    <d v="2025-12-31T00:00:00"/>
    <n v="1"/>
  </r>
  <r>
    <x v="35"/>
    <m/>
    <m/>
    <m/>
    <m/>
    <m/>
    <n v="8"/>
    <n v="9"/>
    <x v="0"/>
    <s v="HAMPSHIRE"/>
    <s v="Resourced Provision - Portchester Community School"/>
    <d v="2023-09-01T00:00:00"/>
    <m/>
    <x v="9"/>
    <x v="0"/>
    <d v="2025-09-01T00:00:00"/>
    <d v="2025-12-31T00:00:00"/>
    <n v="1"/>
  </r>
  <r>
    <x v="35"/>
    <m/>
    <m/>
    <m/>
    <m/>
    <m/>
    <n v="9"/>
    <n v="10"/>
    <x v="0"/>
    <s v="HAMPSHIRE"/>
    <s v="Resourced Provision - Portchester Community School"/>
    <d v="2023-09-01T00:00:00"/>
    <m/>
    <x v="9"/>
    <x v="0"/>
    <d v="2025-09-01T00:00:00"/>
    <d v="2025-12-31T00:00:00"/>
    <n v="1"/>
  </r>
  <r>
    <x v="35"/>
    <m/>
    <m/>
    <m/>
    <m/>
    <m/>
    <n v="8"/>
    <n v="9"/>
    <x v="0"/>
    <s v="HAMPSHIRE"/>
    <s v="Resourced Provision - Portchester Community School"/>
    <d v="2023-09-01T00:00:00"/>
    <m/>
    <x v="9"/>
    <x v="0"/>
    <d v="2025-09-01T00:00:00"/>
    <d v="2025-12-31T00:00:00"/>
    <n v="1"/>
  </r>
  <r>
    <x v="36"/>
    <m/>
    <m/>
    <m/>
    <m/>
    <m/>
    <n v="10"/>
    <n v="11"/>
    <x v="0"/>
    <s v="HAMPSHIRE"/>
    <s v="Resourced Provision (ASC) - The Romsey School"/>
    <d v="2022-09-01T00:00:00"/>
    <m/>
    <x v="4"/>
    <x v="0"/>
    <d v="2025-09-01T00:00:00"/>
    <d v="2025-12-31T00:00:00"/>
    <n v="1"/>
  </r>
  <r>
    <x v="36"/>
    <m/>
    <m/>
    <m/>
    <m/>
    <m/>
    <n v="6"/>
    <n v="7"/>
    <x v="0"/>
    <s v="HAMPSHIRE"/>
    <s v="Resourced Provision (ASC) - The Romsey School"/>
    <d v="2025-09-01T00:00:00"/>
    <m/>
    <x v="4"/>
    <x v="0"/>
    <d v="2025-09-01T00:00:00"/>
    <d v="2025-12-31T00:00:00"/>
    <n v="1"/>
  </r>
  <r>
    <x v="36"/>
    <m/>
    <m/>
    <m/>
    <m/>
    <m/>
    <n v="8"/>
    <n v="9"/>
    <x v="0"/>
    <s v="HAMPSHIRE"/>
    <s v="Resourced Provision (ASC) - The Romsey School"/>
    <d v="2024-09-01T00:00:00"/>
    <m/>
    <x v="4"/>
    <x v="0"/>
    <d v="2025-09-01T00:00:00"/>
    <d v="2025-12-31T00:00:00"/>
    <n v="1"/>
  </r>
  <r>
    <x v="36"/>
    <m/>
    <m/>
    <m/>
    <m/>
    <m/>
    <n v="9"/>
    <n v="10"/>
    <x v="0"/>
    <s v="HAMPSHIRE"/>
    <s v="Resourced Provision (ASC) - The Romsey School"/>
    <d v="2023-09-01T00:00:00"/>
    <m/>
    <x v="4"/>
    <x v="0"/>
    <d v="2025-09-01T00:00:00"/>
    <d v="2025-12-31T00:00:00"/>
    <n v="1"/>
  </r>
  <r>
    <x v="36"/>
    <m/>
    <m/>
    <m/>
    <m/>
    <m/>
    <n v="9"/>
    <n v="10"/>
    <x v="0"/>
    <s v="HAMPSHIRE"/>
    <s v="Resourced Provision (ASC) - The Romsey School"/>
    <d v="2022-09-01T00:00:00"/>
    <m/>
    <x v="4"/>
    <x v="0"/>
    <d v="2025-09-01T00:00:00"/>
    <d v="2025-12-31T00:00:00"/>
    <n v="1"/>
  </r>
  <r>
    <x v="36"/>
    <m/>
    <m/>
    <m/>
    <m/>
    <m/>
    <n v="7"/>
    <n v="8"/>
    <x v="0"/>
    <s v="HAMPSHIRE"/>
    <s v="Resourced Provision (ASC) - The Romsey School"/>
    <d v="2024-09-01T00:00:00"/>
    <m/>
    <x v="4"/>
    <x v="0"/>
    <d v="2025-09-01T00:00:00"/>
    <d v="2025-12-31T00:00:00"/>
    <n v="1"/>
  </r>
  <r>
    <x v="36"/>
    <m/>
    <m/>
    <m/>
    <m/>
    <m/>
    <n v="7"/>
    <n v="8"/>
    <x v="0"/>
    <s v="HAMPSHIRE"/>
    <s v="Resourced Provision (ASC) - The Romsey School"/>
    <d v="2024-09-01T00:00:00"/>
    <m/>
    <x v="4"/>
    <x v="0"/>
    <d v="2025-09-01T00:00:00"/>
    <d v="2025-12-31T00:00:00"/>
    <n v="1"/>
  </r>
  <r>
    <x v="36"/>
    <m/>
    <m/>
    <m/>
    <m/>
    <m/>
    <n v="6"/>
    <n v="7"/>
    <x v="0"/>
    <s v="HAMPSHIRE"/>
    <s v="Resourced Provision (ASC) - The Romsey School"/>
    <d v="2025-09-01T00:00:00"/>
    <m/>
    <x v="4"/>
    <x v="0"/>
    <d v="2025-09-01T00:00:00"/>
    <d v="2025-12-31T00:00:00"/>
    <n v="1"/>
  </r>
  <r>
    <x v="36"/>
    <m/>
    <m/>
    <m/>
    <m/>
    <m/>
    <n v="9"/>
    <n v="10"/>
    <x v="0"/>
    <s v="HAMPSHIRE"/>
    <s v="Resourced Provision (ASC) - The Romsey School"/>
    <d v="2022-09-01T00:00:00"/>
    <m/>
    <x v="4"/>
    <x v="0"/>
    <d v="2025-09-01T00:00:00"/>
    <d v="2025-12-31T00:00:00"/>
    <n v="1"/>
  </r>
  <r>
    <x v="36"/>
    <m/>
    <m/>
    <m/>
    <m/>
    <m/>
    <n v="7"/>
    <n v="8"/>
    <x v="0"/>
    <s v="HAMPSHIRE"/>
    <s v="Resourced Provision (ASC) - The Romsey School"/>
    <d v="2024-09-01T00:00:00"/>
    <m/>
    <x v="4"/>
    <x v="0"/>
    <d v="2025-09-01T00:00:00"/>
    <d v="2025-12-31T00:00:00"/>
    <n v="1"/>
  </r>
  <r>
    <x v="36"/>
    <m/>
    <m/>
    <m/>
    <m/>
    <m/>
    <n v="8"/>
    <n v="9"/>
    <x v="0"/>
    <s v="HAMPSHIRE"/>
    <s v="Resourced Provision (ASC) - The Romsey School"/>
    <d v="2023-09-01T00:00:00"/>
    <m/>
    <x v="4"/>
    <x v="0"/>
    <d v="2025-09-01T00:00:00"/>
    <d v="2025-12-31T00:00:00"/>
    <n v="1"/>
  </r>
  <r>
    <x v="36"/>
    <m/>
    <m/>
    <m/>
    <m/>
    <m/>
    <n v="9"/>
    <n v="10"/>
    <x v="0"/>
    <s v="HAMPSHIRE"/>
    <s v="Resourced Provision (ASC) - The Romsey School"/>
    <d v="2022-09-01T00:00:00"/>
    <m/>
    <x v="4"/>
    <x v="0"/>
    <d v="2025-09-01T00:00:00"/>
    <d v="2025-12-31T00:00:00"/>
    <n v="1"/>
  </r>
  <r>
    <x v="36"/>
    <m/>
    <m/>
    <m/>
    <m/>
    <m/>
    <n v="10"/>
    <n v="11"/>
    <x v="0"/>
    <s v="HAMPSHIRE"/>
    <s v="Resourced Provision (ASC) - The Romsey School"/>
    <d v="2024-09-01T00:00:00"/>
    <m/>
    <x v="4"/>
    <x v="0"/>
    <d v="2025-09-01T00:00:00"/>
    <d v="2025-12-31T00:00:00"/>
    <n v="1"/>
  </r>
  <r>
    <x v="36"/>
    <m/>
    <m/>
    <m/>
    <m/>
    <m/>
    <n v="6"/>
    <n v="7"/>
    <x v="0"/>
    <s v="HAMPSHIRE"/>
    <s v="Resourced Provision (ASC) - The Romsey School"/>
    <d v="2025-09-01T00:00:00"/>
    <m/>
    <x v="4"/>
    <x v="0"/>
    <d v="2025-09-01T00:00:00"/>
    <d v="2025-12-31T00:00:00"/>
    <n v="1"/>
  </r>
  <r>
    <x v="36"/>
    <m/>
    <m/>
    <m/>
    <m/>
    <m/>
    <n v="10"/>
    <n v="11"/>
    <x v="0"/>
    <s v="HAMPSHIRE"/>
    <s v="Resourced Provision (ASC) - The Romsey School"/>
    <d v="2022-01-01T00:00:00"/>
    <m/>
    <x v="4"/>
    <x v="0"/>
    <d v="2025-09-01T00:00:00"/>
    <d v="2025-12-31T00:00:00"/>
    <n v="1"/>
  </r>
  <r>
    <x v="36"/>
    <m/>
    <m/>
    <m/>
    <m/>
    <m/>
    <n v="6"/>
    <n v="7"/>
    <x v="0"/>
    <s v="HAMPSHIRE"/>
    <s v="Resourced Provision (ASC) - The Romsey School"/>
    <d v="2025-09-01T00:00:00"/>
    <m/>
    <x v="4"/>
    <x v="0"/>
    <d v="2025-09-01T00:00:00"/>
    <d v="2025-12-31T00:00:00"/>
    <n v="1"/>
  </r>
  <r>
    <x v="36"/>
    <m/>
    <m/>
    <m/>
    <m/>
    <m/>
    <n v="8"/>
    <n v="9"/>
    <x v="0"/>
    <s v="HAMPSHIRE"/>
    <s v="Resourced Provision (ASC) - The Romsey School"/>
    <d v="2023-09-01T00:00:00"/>
    <m/>
    <x v="4"/>
    <x v="0"/>
    <d v="2025-09-01T00:00:00"/>
    <d v="2025-12-31T00:00:00"/>
    <n v="1"/>
  </r>
  <r>
    <x v="36"/>
    <m/>
    <m/>
    <m/>
    <m/>
    <m/>
    <n v="11"/>
    <n v="12"/>
    <x v="0"/>
    <s v="HAMPSHIRE"/>
    <s v="Resourced Provision (ASC) - The Romsey School"/>
    <d v="2020-10-29T00:00:00"/>
    <d v="2025-08-31T00:00:00"/>
    <x v="4"/>
    <x v="0"/>
    <s v=""/>
    <s v=""/>
    <n v="0"/>
  </r>
  <r>
    <x v="36"/>
    <m/>
    <m/>
    <m/>
    <m/>
    <m/>
    <n v="11"/>
    <n v="12"/>
    <x v="0"/>
    <s v="HAMPSHIRE"/>
    <s v="Resourced Provision (ASC) - The Romsey School"/>
    <d v="2022-09-01T00:00:00"/>
    <d v="2025-08-31T00:00:00"/>
    <x v="4"/>
    <x v="0"/>
    <s v=""/>
    <s v=""/>
    <n v="0"/>
  </r>
  <r>
    <x v="37"/>
    <m/>
    <m/>
    <m/>
    <m/>
    <m/>
    <n v="6"/>
    <n v="7"/>
    <x v="0"/>
    <s v="HAMPSHIRE"/>
    <s v="Resourced Provision - Crookhorn College "/>
    <d v="2025-09-01T00:00:00"/>
    <m/>
    <x v="4"/>
    <x v="0"/>
    <d v="2025-09-01T00:00:00"/>
    <d v="2025-12-31T00:00:00"/>
    <n v="1"/>
  </r>
  <r>
    <x v="37"/>
    <m/>
    <m/>
    <m/>
    <m/>
    <m/>
    <n v="8"/>
    <n v="9"/>
    <x v="0"/>
    <s v="HAMPSHIRE"/>
    <s v="Resourced Provision - Crookhorn College "/>
    <d v="2025-09-01T00:00:00"/>
    <m/>
    <x v="4"/>
    <x v="0"/>
    <d v="2025-09-01T00:00:00"/>
    <d v="2025-12-31T00:00:00"/>
    <n v="1"/>
  </r>
  <r>
    <x v="37"/>
    <m/>
    <m/>
    <m/>
    <m/>
    <m/>
    <n v="6"/>
    <n v="7"/>
    <x v="0"/>
    <s v="HAMPSHIRE"/>
    <s v="Resourced Provision - Crookhorn College "/>
    <d v="2025-09-01T00:00:00"/>
    <m/>
    <x v="4"/>
    <x v="0"/>
    <d v="2025-09-01T00:00:00"/>
    <d v="2025-12-31T00:00:00"/>
    <n v="1"/>
  </r>
  <r>
    <x v="37"/>
    <m/>
    <m/>
    <m/>
    <m/>
    <m/>
    <n v="6"/>
    <n v="7"/>
    <x v="0"/>
    <s v="HAMPSHIRE"/>
    <s v="Resourced Provision - Crookhorn College "/>
    <d v="2025-09-01T00:00:00"/>
    <m/>
    <x v="4"/>
    <x v="0"/>
    <d v="2025-09-01T00:00:00"/>
    <d v="2025-12-31T00:00:00"/>
    <n v="1"/>
  </r>
  <r>
    <x v="37"/>
    <m/>
    <m/>
    <m/>
    <m/>
    <m/>
    <n v="6"/>
    <n v="7"/>
    <x v="0"/>
    <s v="HAMPSHIRE"/>
    <s v="Resourced Provision - Crookhorn College "/>
    <d v="2025-09-01T00:00:00"/>
    <m/>
    <x v="4"/>
    <x v="0"/>
    <d v="2025-09-01T00:00:00"/>
    <d v="2025-12-31T00:00:00"/>
    <n v="1"/>
  </r>
  <r>
    <x v="38"/>
    <m/>
    <m/>
    <m/>
    <m/>
    <m/>
    <n v="9"/>
    <n v="10"/>
    <x v="0"/>
    <s v="HAMPSHIRE"/>
    <s v="Resourced Provision (SPLD) - Cranbourne"/>
    <d v="2022-09-01T00:00:00"/>
    <m/>
    <x v="7"/>
    <x v="0"/>
    <d v="2025-09-01T00:00:00"/>
    <d v="2025-12-31T00:00:00"/>
    <n v="1"/>
  </r>
  <r>
    <x v="38"/>
    <m/>
    <m/>
    <m/>
    <m/>
    <m/>
    <n v="6"/>
    <n v="7"/>
    <x v="0"/>
    <s v="HAMPSHIRE"/>
    <s v="Resourced Provision (SPLD) - Cranbourne"/>
    <d v="2025-09-01T00:00:00"/>
    <m/>
    <x v="7"/>
    <x v="0"/>
    <d v="2025-09-01T00:00:00"/>
    <d v="2025-12-31T00:00:00"/>
    <n v="1"/>
  </r>
  <r>
    <x v="38"/>
    <m/>
    <m/>
    <m/>
    <m/>
    <m/>
    <n v="9"/>
    <n v="10"/>
    <x v="0"/>
    <s v="HAMPSHIRE"/>
    <s v="Resourced Provision (SPLD) - Cranbourne"/>
    <d v="2022-09-01T00:00:00"/>
    <m/>
    <x v="7"/>
    <x v="0"/>
    <d v="2025-09-01T00:00:00"/>
    <d v="2025-12-31T00:00:00"/>
    <n v="1"/>
  </r>
  <r>
    <x v="38"/>
    <m/>
    <m/>
    <m/>
    <m/>
    <m/>
    <n v="9"/>
    <n v="10"/>
    <x v="0"/>
    <s v="HAMPSHIRE"/>
    <s v="Resourced Provision (SPLD) - Cranbourne"/>
    <d v="2022-09-01T00:00:00"/>
    <m/>
    <x v="7"/>
    <x v="0"/>
    <d v="2025-09-01T00:00:00"/>
    <d v="2025-12-31T00:00:00"/>
    <n v="1"/>
  </r>
  <r>
    <x v="38"/>
    <m/>
    <m/>
    <m/>
    <m/>
    <m/>
    <n v="10"/>
    <n v="11"/>
    <x v="0"/>
    <s v="HAMPSHIRE"/>
    <s v="Resourced Provision (SPLD) - Cranbourne"/>
    <d v="2021-09-01T00:00:00"/>
    <m/>
    <x v="7"/>
    <x v="0"/>
    <d v="2025-09-01T00:00:00"/>
    <d v="2025-12-31T00:00:00"/>
    <n v="1"/>
  </r>
  <r>
    <x v="38"/>
    <m/>
    <m/>
    <m/>
    <m/>
    <m/>
    <n v="8"/>
    <n v="9"/>
    <x v="0"/>
    <s v="HAMPSHIRE"/>
    <s v="Resourced Provision (SPLD) - Cranbourne"/>
    <d v="2023-09-01T00:00:00"/>
    <m/>
    <x v="7"/>
    <x v="0"/>
    <d v="2025-09-01T00:00:00"/>
    <d v="2025-12-31T00:00:00"/>
    <n v="1"/>
  </r>
  <r>
    <x v="38"/>
    <m/>
    <m/>
    <m/>
    <m/>
    <m/>
    <n v="6"/>
    <n v="7"/>
    <x v="0"/>
    <s v="HAMPSHIRE"/>
    <s v="Resourced Provision (SPLD) - Cranbourne"/>
    <d v="2024-09-01T00:00:00"/>
    <m/>
    <x v="7"/>
    <x v="0"/>
    <d v="2025-09-01T00:00:00"/>
    <d v="2025-12-31T00:00:00"/>
    <n v="1"/>
  </r>
  <r>
    <x v="38"/>
    <m/>
    <m/>
    <m/>
    <m/>
    <m/>
    <n v="11"/>
    <n v="12"/>
    <x v="0"/>
    <s v="HAMPSHIRE"/>
    <s v="Resourced Provision (SPLD) - Cranbourne"/>
    <d v="2020-09-01T00:00:00"/>
    <d v="2025-08-31T00:00:00"/>
    <x v="7"/>
    <x v="0"/>
    <s v=""/>
    <s v=""/>
    <n v="0"/>
  </r>
  <r>
    <x v="38"/>
    <m/>
    <m/>
    <m/>
    <m/>
    <m/>
    <n v="8"/>
    <n v="9"/>
    <x v="0"/>
    <s v="HAMPSHIRE"/>
    <s v="Resourced Provision (SPLD) - Cranbourne"/>
    <d v="2023-09-01T00:00:00"/>
    <m/>
    <x v="7"/>
    <x v="0"/>
    <d v="2025-09-01T00:00:00"/>
    <d v="2025-12-31T00:00:00"/>
    <n v="1"/>
  </r>
  <r>
    <x v="38"/>
    <m/>
    <m/>
    <m/>
    <m/>
    <m/>
    <n v="9"/>
    <n v="10"/>
    <x v="0"/>
    <s v="HAMPSHIRE"/>
    <s v="Resourced Provision (SPLD) - Cranbourne"/>
    <d v="2022-09-01T00:00:00"/>
    <m/>
    <x v="7"/>
    <x v="0"/>
    <d v="2025-09-01T00:00:00"/>
    <d v="2025-12-31T00:00:00"/>
    <n v="1"/>
  </r>
  <r>
    <x v="38"/>
    <m/>
    <m/>
    <m/>
    <m/>
    <m/>
    <n v="10"/>
    <n v="11"/>
    <x v="0"/>
    <s v="HAMPSHIRE"/>
    <s v="Resourced Provision (SPLD) - Cranbourne"/>
    <d v="2021-09-01T00:00:00"/>
    <m/>
    <x v="7"/>
    <x v="0"/>
    <d v="2025-09-01T00:00:00"/>
    <d v="2025-12-31T00:00:00"/>
    <n v="1"/>
  </r>
  <r>
    <x v="38"/>
    <m/>
    <m/>
    <m/>
    <m/>
    <m/>
    <n v="7"/>
    <n v="8"/>
    <x v="0"/>
    <s v="HAMPSHIRE"/>
    <s v="Resourced Provision (SPLD) - Cranbourne"/>
    <d v="2024-09-01T00:00:00"/>
    <m/>
    <x v="7"/>
    <x v="0"/>
    <d v="2025-09-01T00:00:00"/>
    <d v="2025-12-31T00:00:00"/>
    <n v="1"/>
  </r>
  <r>
    <x v="38"/>
    <m/>
    <m/>
    <m/>
    <m/>
    <m/>
    <n v="7"/>
    <n v="8"/>
    <x v="0"/>
    <s v="HAMPSHIRE"/>
    <s v="Resourced Provision (SPLD) - Cranbourne"/>
    <d v="2024-09-01T00:00:00"/>
    <m/>
    <x v="7"/>
    <x v="0"/>
    <d v="2025-09-01T00:00:00"/>
    <d v="2025-12-31T00:00:00"/>
    <n v="1"/>
  </r>
  <r>
    <x v="38"/>
    <m/>
    <m/>
    <m/>
    <m/>
    <m/>
    <n v="6"/>
    <n v="7"/>
    <x v="0"/>
    <s v="HAMPSHIRE"/>
    <s v="Resourced Provision (SPLD) - Cranbourne"/>
    <d v="2025-09-01T00:00:00"/>
    <m/>
    <x v="7"/>
    <x v="0"/>
    <d v="2025-09-01T00:00:00"/>
    <d v="2025-12-31T00:00:00"/>
    <n v="1"/>
  </r>
  <r>
    <x v="38"/>
    <m/>
    <m/>
    <m/>
    <m/>
    <m/>
    <n v="10"/>
    <n v="11"/>
    <x v="0"/>
    <s v="HAMPSHIRE"/>
    <s v="Resourced Provision (SPLD) - Cranbourne"/>
    <d v="2023-09-01T00:00:00"/>
    <m/>
    <x v="7"/>
    <x v="0"/>
    <d v="2025-09-01T00:00:00"/>
    <d v="2025-12-31T00:00:00"/>
    <n v="1"/>
  </r>
  <r>
    <x v="38"/>
    <m/>
    <m/>
    <m/>
    <m/>
    <m/>
    <n v="8"/>
    <n v="9"/>
    <x v="0"/>
    <s v="HAMPSHIRE"/>
    <s v="Resourced Provision (SPLD) - Cranbourne"/>
    <d v="2023-09-01T00:00:00"/>
    <m/>
    <x v="7"/>
    <x v="0"/>
    <d v="2025-09-01T00:00:00"/>
    <d v="2025-12-31T00:00:00"/>
    <n v="1"/>
  </r>
  <r>
    <x v="38"/>
    <m/>
    <m/>
    <m/>
    <m/>
    <m/>
    <n v="9"/>
    <n v="10"/>
    <x v="0"/>
    <s v="HAMPSHIRE"/>
    <s v="Resourced Provision (SPLD) - Cranbourne"/>
    <d v="2022-09-01T00:00:00"/>
    <m/>
    <x v="7"/>
    <x v="0"/>
    <d v="2025-09-01T00:00:00"/>
    <d v="2025-12-31T00:00:00"/>
    <n v="1"/>
  </r>
  <r>
    <x v="39"/>
    <m/>
    <m/>
    <m/>
    <m/>
    <m/>
    <n v="7"/>
    <n v="8"/>
    <x v="0"/>
    <s v="HAMPSHIRE"/>
    <s v="Resourced Provision - Horndean Technology College"/>
    <d v="2025-05-12T00:00:00"/>
    <m/>
    <x v="4"/>
    <x v="0"/>
    <d v="2025-09-01T00:00:00"/>
    <d v="2025-12-31T00:00:00"/>
    <n v="1"/>
  </r>
  <r>
    <x v="39"/>
    <m/>
    <m/>
    <m/>
    <m/>
    <m/>
    <n v="8"/>
    <n v="9"/>
    <x v="0"/>
    <s v="HAMPSHIRE"/>
    <s v="Resourced Provision - Horndean Technology College"/>
    <d v="2023-09-01T00:00:00"/>
    <m/>
    <x v="4"/>
    <x v="0"/>
    <d v="2025-09-01T00:00:00"/>
    <d v="2025-12-31T00:00:00"/>
    <n v="1"/>
  </r>
  <r>
    <x v="39"/>
    <m/>
    <m/>
    <m/>
    <m/>
    <m/>
    <n v="8"/>
    <n v="9"/>
    <x v="0"/>
    <s v="HAMPSHIRE"/>
    <s v="Resourced Provision - Horndean Technology College"/>
    <d v="2023-09-01T00:00:00"/>
    <m/>
    <x v="4"/>
    <x v="0"/>
    <d v="2025-09-01T00:00:00"/>
    <d v="2025-12-31T00:00:00"/>
    <n v="1"/>
  </r>
  <r>
    <x v="39"/>
    <m/>
    <m/>
    <m/>
    <m/>
    <m/>
    <n v="11"/>
    <n v="12"/>
    <x v="0"/>
    <s v="HAMPSHIRE"/>
    <s v="Resourced Provision - Horndean Technology College"/>
    <d v="2020-09-01T00:00:00"/>
    <d v="2025-08-31T00:00:00"/>
    <x v="4"/>
    <x v="0"/>
    <s v=""/>
    <s v=""/>
    <n v="0"/>
  </r>
  <r>
    <x v="39"/>
    <m/>
    <m/>
    <m/>
    <m/>
    <m/>
    <n v="11"/>
    <n v="12"/>
    <x v="0"/>
    <s v="HAMPSHIRE"/>
    <s v="Resourced Provision - Horndean Technology College"/>
    <d v="2020-09-01T00:00:00"/>
    <d v="2025-08-31T00:00:00"/>
    <x v="4"/>
    <x v="0"/>
    <s v=""/>
    <s v=""/>
    <n v="0"/>
  </r>
  <r>
    <x v="39"/>
    <m/>
    <m/>
    <m/>
    <m/>
    <m/>
    <n v="11"/>
    <n v="12"/>
    <x v="0"/>
    <s v="HAMPSHIRE"/>
    <s v="Resourced Provision - Horndean Technology College"/>
    <d v="2020-09-01T00:00:00"/>
    <d v="2025-08-31T00:00:00"/>
    <x v="4"/>
    <x v="0"/>
    <s v=""/>
    <s v=""/>
    <n v="0"/>
  </r>
  <r>
    <x v="39"/>
    <m/>
    <m/>
    <m/>
    <m/>
    <m/>
    <n v="9"/>
    <n v="10"/>
    <x v="0"/>
    <s v="HAMPSHIRE"/>
    <s v="Resourced Provision - Horndean Technology College"/>
    <d v="2022-09-01T00:00:00"/>
    <m/>
    <x v="4"/>
    <x v="0"/>
    <d v="2025-09-01T00:00:00"/>
    <d v="2025-12-31T00:00:00"/>
    <n v="1"/>
  </r>
  <r>
    <x v="39"/>
    <m/>
    <m/>
    <m/>
    <m/>
    <m/>
    <n v="9"/>
    <n v="10"/>
    <x v="0"/>
    <s v="HAMPSHIRE"/>
    <s v="Resourced Provision - Horndean Technology College"/>
    <d v="2022-09-01T00:00:00"/>
    <m/>
    <x v="4"/>
    <x v="0"/>
    <d v="2025-09-01T00:00:00"/>
    <d v="2025-12-31T00:00:00"/>
    <n v="1"/>
  </r>
  <r>
    <x v="39"/>
    <m/>
    <m/>
    <m/>
    <m/>
    <m/>
    <n v="8"/>
    <n v="9"/>
    <x v="0"/>
    <s v="HAMPSHIRE"/>
    <s v="Resourced Provision - Horndean Technology College"/>
    <d v="2023-09-01T00:00:00"/>
    <m/>
    <x v="4"/>
    <x v="0"/>
    <d v="2025-09-01T00:00:00"/>
    <d v="2025-12-31T00:00:00"/>
    <n v="1"/>
  </r>
  <r>
    <x v="39"/>
    <m/>
    <m/>
    <m/>
    <m/>
    <m/>
    <n v="9"/>
    <n v="10"/>
    <x v="0"/>
    <s v="HAMPSHIRE"/>
    <s v="Resourced Provision - Horndean Technology College"/>
    <d v="2024-09-01T00:00:00"/>
    <m/>
    <x v="4"/>
    <x v="0"/>
    <d v="2025-09-01T00:00:00"/>
    <d v="2025-12-31T00:00:00"/>
    <n v="1"/>
  </r>
  <r>
    <x v="39"/>
    <m/>
    <m/>
    <m/>
    <m/>
    <m/>
    <n v="9"/>
    <n v="10"/>
    <x v="0"/>
    <s v="HAMPSHIRE"/>
    <s v="Resourced Provision - Horndean Technology College"/>
    <d v="2022-09-01T00:00:00"/>
    <m/>
    <x v="4"/>
    <x v="0"/>
    <d v="2025-09-01T00:00:00"/>
    <d v="2025-12-31T00:00:00"/>
    <n v="1"/>
  </r>
  <r>
    <x v="39"/>
    <m/>
    <m/>
    <m/>
    <m/>
    <m/>
    <n v="8"/>
    <n v="9"/>
    <x v="0"/>
    <s v="HAMPSHIRE"/>
    <s v="Resourced Provision - Horndean Technology College"/>
    <d v="2023-09-01T00:00:00"/>
    <m/>
    <x v="4"/>
    <x v="0"/>
    <d v="2025-09-01T00:00:00"/>
    <d v="2025-12-31T00:00:00"/>
    <n v="1"/>
  </r>
  <r>
    <x v="39"/>
    <m/>
    <m/>
    <m/>
    <m/>
    <m/>
    <n v="6"/>
    <n v="7"/>
    <x v="0"/>
    <s v="HAMPSHIRE"/>
    <s v="Resourced Provision - Horndean Technology College"/>
    <d v="2025-09-01T00:00:00"/>
    <m/>
    <x v="4"/>
    <x v="0"/>
    <d v="2025-09-01T00:00:00"/>
    <d v="2025-12-31T00:00:00"/>
    <n v="1"/>
  </r>
  <r>
    <x v="39"/>
    <m/>
    <m/>
    <m/>
    <m/>
    <m/>
    <n v="10"/>
    <n v="11"/>
    <x v="0"/>
    <s v="HAMPSHIRE"/>
    <s v="Resourced Provision - Horndean Technology College"/>
    <d v="2021-09-01T00:00:00"/>
    <m/>
    <x v="4"/>
    <x v="0"/>
    <d v="2025-09-01T00:00:00"/>
    <d v="2025-12-31T00:00:00"/>
    <n v="1"/>
  </r>
  <r>
    <x v="39"/>
    <m/>
    <m/>
    <m/>
    <m/>
    <m/>
    <n v="6"/>
    <n v="7"/>
    <x v="0"/>
    <s v="HAMPSHIRE"/>
    <s v="Resourced Provision - Horndean Technology College"/>
    <d v="2025-09-01T00:00:00"/>
    <m/>
    <x v="4"/>
    <x v="0"/>
    <d v="2025-09-01T00:00:00"/>
    <d v="2025-12-31T00:00:00"/>
    <n v="1"/>
  </r>
  <r>
    <x v="39"/>
    <m/>
    <m/>
    <m/>
    <m/>
    <m/>
    <n v="7"/>
    <n v="8"/>
    <x v="0"/>
    <s v="HAMPSHIRE"/>
    <s v="Resourced Provision - Horndean Technology College"/>
    <d v="2024-09-01T00:00:00"/>
    <m/>
    <x v="4"/>
    <x v="0"/>
    <d v="2025-09-01T00:00:00"/>
    <d v="2025-12-31T00:00:00"/>
    <n v="1"/>
  </r>
  <r>
    <x v="39"/>
    <m/>
    <m/>
    <m/>
    <m/>
    <m/>
    <n v="8"/>
    <n v="9"/>
    <x v="0"/>
    <s v="HAMPSHIRE"/>
    <s v="Resourced Provision - Horndean Technology College"/>
    <d v="2023-09-01T00:00:00"/>
    <m/>
    <x v="4"/>
    <x v="0"/>
    <d v="2025-09-01T00:00:00"/>
    <d v="2025-12-31T00:00:00"/>
    <n v="1"/>
  </r>
  <r>
    <x v="39"/>
    <m/>
    <m/>
    <m/>
    <m/>
    <m/>
    <n v="11"/>
    <n v="12"/>
    <x v="0"/>
    <s v="HAMPSHIRE"/>
    <s v="Resourced Provision - Horndean Technology College"/>
    <d v="2020-09-01T00:00:00"/>
    <d v="2025-08-31T00:00:00"/>
    <x v="4"/>
    <x v="0"/>
    <s v=""/>
    <s v=""/>
    <n v="0"/>
  </r>
  <r>
    <x v="39"/>
    <m/>
    <m/>
    <m/>
    <m/>
    <m/>
    <n v="10"/>
    <n v="11"/>
    <x v="0"/>
    <s v="HAMPSHIRE"/>
    <s v="Resourced Provision - Horndean Technology College"/>
    <d v="2021-09-01T00:00:00"/>
    <m/>
    <x v="4"/>
    <x v="0"/>
    <d v="2025-09-01T00:00:00"/>
    <d v="2025-12-31T00:00:00"/>
    <n v="1"/>
  </r>
  <r>
    <x v="39"/>
    <m/>
    <m/>
    <m/>
    <m/>
    <m/>
    <n v="6"/>
    <n v="7"/>
    <x v="0"/>
    <s v="HAMPSHIRE"/>
    <s v="Resourced Provision - Horndean Technology College"/>
    <d v="2025-09-01T00:00:00"/>
    <m/>
    <x v="4"/>
    <x v="0"/>
    <d v="2025-09-01T00:00:00"/>
    <d v="2025-12-31T00:00:00"/>
    <n v="1"/>
  </r>
  <r>
    <x v="39"/>
    <m/>
    <m/>
    <m/>
    <m/>
    <m/>
    <n v="6"/>
    <n v="7"/>
    <x v="0"/>
    <s v="HAMPSHIRE"/>
    <s v="Resourced Provision - Horndean Technology College"/>
    <d v="2025-09-01T00:00:00"/>
    <m/>
    <x v="4"/>
    <x v="0"/>
    <d v="2025-09-01T00:00:00"/>
    <d v="2025-12-31T00:00:00"/>
    <n v="1"/>
  </r>
  <r>
    <x v="40"/>
    <m/>
    <m/>
    <m/>
    <m/>
    <m/>
    <n v="9"/>
    <n v="10"/>
    <x v="0"/>
    <s v="HAMPSHIRE"/>
    <s v="Resourced Provision - The Henry Beaufort School"/>
    <d v="2022-09-01T00:00:00"/>
    <m/>
    <x v="6"/>
    <x v="0"/>
    <d v="2025-09-01T00:00:00"/>
    <d v="2025-12-31T00:00:00"/>
    <n v="1"/>
  </r>
  <r>
    <x v="40"/>
    <m/>
    <m/>
    <m/>
    <m/>
    <m/>
    <n v="9"/>
    <n v="10"/>
    <x v="0"/>
    <s v="HAMPSHIRE"/>
    <s v="Resourced Provision - The Henry Beaufort School"/>
    <d v="2022-09-01T00:00:00"/>
    <m/>
    <x v="6"/>
    <x v="0"/>
    <d v="2025-09-01T00:00:00"/>
    <d v="2025-12-31T00:00:00"/>
    <n v="1"/>
  </r>
  <r>
    <x v="40"/>
    <m/>
    <m/>
    <m/>
    <m/>
    <m/>
    <n v="10"/>
    <n v="11"/>
    <x v="0"/>
    <s v="HAMPSHIRE"/>
    <s v="Resourced Provision - The Henry Beaufort School"/>
    <d v="2023-03-31T00:00:00"/>
    <m/>
    <x v="6"/>
    <x v="0"/>
    <d v="2025-09-01T00:00:00"/>
    <d v="2025-12-31T00:00:00"/>
    <n v="1"/>
  </r>
  <r>
    <x v="40"/>
    <m/>
    <m/>
    <m/>
    <m/>
    <m/>
    <n v="8"/>
    <n v="9"/>
    <x v="0"/>
    <s v="HAMPSHIRE"/>
    <s v="Resourced Provision - The Henry Beaufort School"/>
    <d v="2023-11-29T00:00:00"/>
    <m/>
    <x v="6"/>
    <x v="0"/>
    <d v="2025-09-01T00:00:00"/>
    <d v="2025-12-31T00:00:00"/>
    <n v="1"/>
  </r>
  <r>
    <x v="40"/>
    <m/>
    <m/>
    <m/>
    <m/>
    <m/>
    <n v="7"/>
    <n v="8"/>
    <x v="0"/>
    <s v="HAMPSHIRE"/>
    <s v="Resourced Provision - The Henry Beaufort School"/>
    <d v="2024-09-01T00:00:00"/>
    <m/>
    <x v="6"/>
    <x v="0"/>
    <d v="2025-09-01T00:00:00"/>
    <d v="2025-12-31T00:00:00"/>
    <n v="1"/>
  </r>
  <r>
    <x v="40"/>
    <m/>
    <m/>
    <m/>
    <m/>
    <m/>
    <n v="11"/>
    <n v="12"/>
    <x v="0"/>
    <s v="HAMPSHIRE"/>
    <s v="Resourced Provision - The Henry Beaufort School"/>
    <d v="2020-09-01T00:00:00"/>
    <d v="2025-08-31T00:00:00"/>
    <x v="6"/>
    <x v="0"/>
    <s v=""/>
    <s v=""/>
    <n v="0"/>
  </r>
  <r>
    <x v="41"/>
    <m/>
    <m/>
    <m/>
    <m/>
    <m/>
    <n v="10"/>
    <n v="11"/>
    <x v="0"/>
    <s v="HAMPSHIRE"/>
    <s v="Resourced Provision - The Vyne Community School"/>
    <d v="2021-09-01T00:00:00"/>
    <m/>
    <x v="2"/>
    <x v="0"/>
    <d v="2025-09-01T00:00:00"/>
    <d v="2025-12-31T00:00:00"/>
    <n v="1"/>
  </r>
  <r>
    <x v="41"/>
    <m/>
    <m/>
    <m/>
    <m/>
    <m/>
    <n v="10"/>
    <n v="11"/>
    <x v="0"/>
    <s v="HAMPSHIRE"/>
    <s v="Resourced Provision - The Vyne Community School"/>
    <d v="2021-09-01T00:00:00"/>
    <m/>
    <x v="2"/>
    <x v="0"/>
    <d v="2025-09-01T00:00:00"/>
    <d v="2025-12-31T00:00:00"/>
    <n v="1"/>
  </r>
  <r>
    <x v="41"/>
    <m/>
    <m/>
    <m/>
    <m/>
    <m/>
    <n v="10"/>
    <n v="11"/>
    <x v="0"/>
    <s v="HAMPSHIRE"/>
    <s v="Resourced Provision - The Vyne Community School"/>
    <d v="2021-09-01T00:00:00"/>
    <m/>
    <x v="2"/>
    <x v="0"/>
    <d v="2025-09-01T00:00:00"/>
    <d v="2025-12-31T00:00:00"/>
    <n v="1"/>
  </r>
  <r>
    <x v="41"/>
    <m/>
    <m/>
    <m/>
    <m/>
    <m/>
    <n v="9"/>
    <n v="10"/>
    <x v="0"/>
    <s v="HAMPSHIRE"/>
    <s v="Resourced Provision - The Vyne Community School"/>
    <d v="2022-09-01T00:00:00"/>
    <m/>
    <x v="2"/>
    <x v="0"/>
    <d v="2025-09-01T00:00:00"/>
    <d v="2025-12-31T00:00:00"/>
    <n v="1"/>
  </r>
  <r>
    <x v="41"/>
    <m/>
    <m/>
    <m/>
    <m/>
    <m/>
    <n v="8"/>
    <n v="9"/>
    <x v="0"/>
    <s v="HAMPSHIRE"/>
    <s v="Resourced Provision - The Vyne Community School"/>
    <d v="2023-09-01T00:00:00"/>
    <m/>
    <x v="2"/>
    <x v="0"/>
    <d v="2025-09-01T00:00:00"/>
    <d v="2025-12-31T00:00:00"/>
    <n v="1"/>
  </r>
  <r>
    <x v="41"/>
    <m/>
    <m/>
    <m/>
    <m/>
    <m/>
    <n v="9"/>
    <n v="10"/>
    <x v="0"/>
    <s v="HAMPSHIRE"/>
    <s v="Resourced Provision - The Vyne Community School"/>
    <d v="2022-09-01T00:00:00"/>
    <m/>
    <x v="2"/>
    <x v="0"/>
    <d v="2025-09-01T00:00:00"/>
    <d v="2025-12-31T00:00:00"/>
    <n v="1"/>
  </r>
  <r>
    <x v="41"/>
    <m/>
    <m/>
    <m/>
    <m/>
    <m/>
    <n v="9"/>
    <n v="10"/>
    <x v="0"/>
    <s v="HAMPSHIRE"/>
    <s v="Resourced Provision - The Vyne Community School"/>
    <d v="2022-09-01T00:00:00"/>
    <m/>
    <x v="2"/>
    <x v="0"/>
    <d v="2025-09-01T00:00:00"/>
    <d v="2025-12-31T00:00:00"/>
    <n v="1"/>
  </r>
  <r>
    <x v="41"/>
    <m/>
    <m/>
    <m/>
    <m/>
    <m/>
    <n v="8"/>
    <n v="9"/>
    <x v="0"/>
    <s v="HAMPSHIRE"/>
    <s v="Resourced Provision - The Vyne Community School"/>
    <d v="2023-09-01T00:00:00"/>
    <m/>
    <x v="2"/>
    <x v="0"/>
    <d v="2025-09-01T00:00:00"/>
    <d v="2025-12-31T00:00:00"/>
    <n v="1"/>
  </r>
  <r>
    <x v="41"/>
    <m/>
    <m/>
    <m/>
    <m/>
    <m/>
    <n v="10"/>
    <n v="11"/>
    <x v="0"/>
    <s v="HAMPSHIRE"/>
    <s v="Resourced Provision - The Vyne Community School"/>
    <d v="2021-09-01T00:00:00"/>
    <m/>
    <x v="2"/>
    <x v="0"/>
    <d v="2025-09-01T00:00:00"/>
    <d v="2025-12-31T00:00:00"/>
    <n v="1"/>
  </r>
  <r>
    <x v="42"/>
    <m/>
    <m/>
    <m/>
    <m/>
    <m/>
    <n v="10"/>
    <n v="11"/>
    <x v="0"/>
    <s v="HAMPSHIRE"/>
    <s v="Resourced Provision (SPLD) - Crestwood School"/>
    <d v="2021-09-01T00:00:00"/>
    <m/>
    <x v="7"/>
    <x v="0"/>
    <d v="2025-09-01T00:00:00"/>
    <d v="2025-12-31T00:00:00"/>
    <n v="1"/>
  </r>
  <r>
    <x v="42"/>
    <m/>
    <m/>
    <m/>
    <m/>
    <m/>
    <n v="9"/>
    <n v="10"/>
    <x v="0"/>
    <s v="HAMPSHIRE"/>
    <s v="Resourced Provision (SPLD) - Crestwood School"/>
    <d v="2022-09-01T00:00:00"/>
    <m/>
    <x v="7"/>
    <x v="0"/>
    <d v="2025-09-01T00:00:00"/>
    <d v="2025-12-31T00:00:00"/>
    <n v="1"/>
  </r>
  <r>
    <x v="42"/>
    <m/>
    <m/>
    <m/>
    <m/>
    <m/>
    <n v="11"/>
    <n v="12"/>
    <x v="0"/>
    <s v="HAMPSHIRE"/>
    <s v="Resourced Provision (SPLD) - Crestwood School"/>
    <d v="2020-09-01T00:00:00"/>
    <d v="2025-08-31T00:00:00"/>
    <x v="7"/>
    <x v="0"/>
    <s v=""/>
    <s v=""/>
    <n v="0"/>
  </r>
  <r>
    <x v="42"/>
    <m/>
    <m/>
    <m/>
    <m/>
    <m/>
    <n v="11"/>
    <n v="12"/>
    <x v="0"/>
    <s v="HAMPSHIRE"/>
    <s v="Resourced Provision (SPLD) - Crestwood School"/>
    <d v="2020-09-01T00:00:00"/>
    <d v="2025-08-31T00:00:00"/>
    <x v="7"/>
    <x v="0"/>
    <s v=""/>
    <s v=""/>
    <n v="0"/>
  </r>
  <r>
    <x v="42"/>
    <m/>
    <m/>
    <m/>
    <m/>
    <m/>
    <n v="8"/>
    <n v="9"/>
    <x v="0"/>
    <s v="HAMPSHIRE"/>
    <s v="Resourced Provision (SEMH) - Crestwood School"/>
    <d v="2023-09-01T00:00:00"/>
    <m/>
    <x v="5"/>
    <x v="0"/>
    <d v="2025-09-01T00:00:00"/>
    <d v="2025-12-31T00:00:00"/>
    <n v="1"/>
  </r>
  <r>
    <x v="42"/>
    <m/>
    <m/>
    <m/>
    <m/>
    <m/>
    <n v="7"/>
    <n v="8"/>
    <x v="0"/>
    <s v="HAMPSHIRE"/>
    <s v="Resourced Provision (SPLD) - Crestwood School"/>
    <d v="2024-09-01T00:00:00"/>
    <m/>
    <x v="7"/>
    <x v="0"/>
    <d v="2025-09-01T00:00:00"/>
    <d v="2025-12-31T00:00:00"/>
    <n v="1"/>
  </r>
  <r>
    <x v="42"/>
    <m/>
    <m/>
    <m/>
    <m/>
    <m/>
    <n v="12"/>
    <n v="13"/>
    <x v="0"/>
    <s v="HAMPSHIRE"/>
    <s v="Resourced Provision (SPLD) - Crestwood School"/>
    <d v="2025-09-01T00:00:00"/>
    <m/>
    <x v="7"/>
    <x v="0"/>
    <d v="2025-09-01T00:00:00"/>
    <d v="2025-12-31T00:00:00"/>
    <n v="1"/>
  </r>
  <r>
    <x v="42"/>
    <m/>
    <m/>
    <m/>
    <m/>
    <m/>
    <n v="7"/>
    <n v="8"/>
    <x v="0"/>
    <s v="HAMPSHIRE"/>
    <s v="Resourced Provision (SEMH) - Crestwood School"/>
    <d v="2024-09-01T00:00:00"/>
    <m/>
    <x v="5"/>
    <x v="0"/>
    <d v="2025-09-01T00:00:00"/>
    <d v="2025-12-31T00:00:00"/>
    <n v="1"/>
  </r>
  <r>
    <x v="42"/>
    <m/>
    <m/>
    <m/>
    <m/>
    <m/>
    <n v="11"/>
    <n v="12"/>
    <x v="0"/>
    <s v="HAMPSHIRE"/>
    <s v="Resourced Provision (SEMH) - Crestwood School"/>
    <d v="2020-09-01T00:00:00"/>
    <d v="2025-08-31T00:00:00"/>
    <x v="5"/>
    <x v="0"/>
    <s v=""/>
    <s v=""/>
    <n v="0"/>
  </r>
  <r>
    <x v="42"/>
    <m/>
    <m/>
    <m/>
    <m/>
    <m/>
    <n v="9"/>
    <n v="10"/>
    <x v="0"/>
    <s v="HAMPSHIRE"/>
    <s v="Resourced Provision (SEMH) - Crestwood School"/>
    <d v="2025-09-01T00:00:00"/>
    <m/>
    <x v="5"/>
    <x v="0"/>
    <d v="2025-09-01T00:00:00"/>
    <d v="2025-12-31T00:00:00"/>
    <n v="1"/>
  </r>
  <r>
    <x v="42"/>
    <m/>
    <m/>
    <m/>
    <m/>
    <m/>
    <n v="9"/>
    <n v="10"/>
    <x v="0"/>
    <s v="HAMPSHIRE"/>
    <s v="Resourced Provision (SEMH) - Crestwood School"/>
    <d v="2025-09-01T00:00:00"/>
    <m/>
    <x v="5"/>
    <x v="0"/>
    <d v="2025-09-01T00:00:00"/>
    <d v="2025-12-31T00:00:00"/>
    <n v="1"/>
  </r>
  <r>
    <x v="42"/>
    <m/>
    <m/>
    <m/>
    <m/>
    <m/>
    <n v="11"/>
    <n v="12"/>
    <x v="0"/>
    <s v="HAMPSHIRE"/>
    <s v="Resourced Provision (SEMH) - Crestwood School"/>
    <d v="2024-09-01T00:00:00"/>
    <d v="2025-08-31T00:00:00"/>
    <x v="5"/>
    <x v="0"/>
    <s v=""/>
    <s v=""/>
    <n v="0"/>
  </r>
  <r>
    <x v="42"/>
    <m/>
    <m/>
    <m/>
    <m/>
    <m/>
    <n v="7"/>
    <n v="8"/>
    <x v="0"/>
    <s v="HAMPSHIRE"/>
    <s v="Resourced Provision (SEMH) - Crestwood School"/>
    <d v="2024-09-01T00:00:00"/>
    <m/>
    <x v="5"/>
    <x v="0"/>
    <d v="2025-09-01T00:00:00"/>
    <d v="2025-12-31T00:00:00"/>
    <n v="1"/>
  </r>
  <r>
    <x v="42"/>
    <m/>
    <m/>
    <m/>
    <m/>
    <m/>
    <n v="7"/>
    <n v="8"/>
    <x v="0"/>
    <s v="HAMPSHIRE"/>
    <s v="Resourced Provision (SPLD) - Crestwood School"/>
    <d v="2024-09-01T00:00:00"/>
    <m/>
    <x v="7"/>
    <x v="0"/>
    <d v="2025-09-01T00:00:00"/>
    <d v="2025-12-31T00:00:00"/>
    <n v="1"/>
  </r>
  <r>
    <x v="42"/>
    <m/>
    <m/>
    <m/>
    <m/>
    <m/>
    <n v="10"/>
    <n v="11"/>
    <x v="0"/>
    <s v="HAMPSHIRE"/>
    <s v="Resourced Provision (SEMH) - Crestwood School"/>
    <d v="2024-07-01T00:00:00"/>
    <m/>
    <x v="5"/>
    <x v="0"/>
    <d v="2025-09-01T00:00:00"/>
    <d v="2025-12-31T00:00:00"/>
    <n v="1"/>
  </r>
  <r>
    <x v="42"/>
    <m/>
    <m/>
    <m/>
    <m/>
    <m/>
    <n v="10"/>
    <n v="11"/>
    <x v="0"/>
    <s v="HAMPSHIRE"/>
    <s v="Resourced Provision (SPLD) - Crestwood School"/>
    <d v="2021-09-01T00:00:00"/>
    <m/>
    <x v="7"/>
    <x v="0"/>
    <d v="2025-09-01T00:00:00"/>
    <d v="2025-12-31T00:00:00"/>
    <n v="1"/>
  </r>
  <r>
    <x v="42"/>
    <m/>
    <m/>
    <m/>
    <m/>
    <m/>
    <n v="10"/>
    <n v="11"/>
    <x v="0"/>
    <s v="HAMPSHIRE"/>
    <s v="Resourced Provision (SEMH) - Crestwood School"/>
    <d v="2025-09-01T00:00:00"/>
    <m/>
    <x v="5"/>
    <x v="0"/>
    <d v="2025-09-01T00:00:00"/>
    <d v="2025-12-31T00:00:00"/>
    <n v="1"/>
  </r>
  <r>
    <x v="42"/>
    <m/>
    <m/>
    <m/>
    <m/>
    <m/>
    <n v="10"/>
    <n v="11"/>
    <x v="0"/>
    <s v="HAMPSHIRE"/>
    <s v="Resourced Provision (SEMH) - Crestwood School"/>
    <d v="2021-09-01T00:00:00"/>
    <m/>
    <x v="5"/>
    <x v="0"/>
    <d v="2025-09-01T00:00:00"/>
    <d v="2025-12-31T00:00:00"/>
    <n v="1"/>
  </r>
  <r>
    <x v="42"/>
    <m/>
    <m/>
    <m/>
    <m/>
    <m/>
    <n v="11"/>
    <n v="12"/>
    <x v="0"/>
    <s v="HAMPSHIRE"/>
    <s v="Resourced Provision (SPLD) - Crestwood School"/>
    <d v="2020-09-28T00:00:00"/>
    <d v="2025-08-31T00:00:00"/>
    <x v="7"/>
    <x v="0"/>
    <s v=""/>
    <s v=""/>
    <n v="0"/>
  </r>
  <r>
    <x v="42"/>
    <m/>
    <m/>
    <m/>
    <m/>
    <m/>
    <n v="7"/>
    <n v="8"/>
    <x v="0"/>
    <s v="HAMPSHIRE"/>
    <s v="Resourced Provision (SEMH) - Crestwood School"/>
    <d v="2024-09-01T00:00:00"/>
    <m/>
    <x v="5"/>
    <x v="0"/>
    <d v="2025-09-01T00:00:00"/>
    <d v="2025-12-31T00:00:00"/>
    <n v="1"/>
  </r>
  <r>
    <x v="42"/>
    <m/>
    <m/>
    <m/>
    <m/>
    <m/>
    <n v="11"/>
    <n v="12"/>
    <x v="0"/>
    <s v="HAMPSHIRE"/>
    <s v="Resourced Provision (SEMH) - Crestwood School"/>
    <d v="2024-09-01T00:00:00"/>
    <d v="2025-08-31T00:00:00"/>
    <x v="5"/>
    <x v="0"/>
    <s v=""/>
    <s v=""/>
    <n v="0"/>
  </r>
  <r>
    <x v="42"/>
    <m/>
    <m/>
    <m/>
    <m/>
    <m/>
    <n v="8"/>
    <n v="9"/>
    <x v="0"/>
    <s v="HAMPSHIRE"/>
    <s v="Resourced Provision (SEMH) - Crestwood School"/>
    <d v="2023-09-01T00:00:00"/>
    <m/>
    <x v="5"/>
    <x v="0"/>
    <d v="2025-09-01T00:00:00"/>
    <d v="2025-12-31T00:00:00"/>
    <n v="1"/>
  </r>
  <r>
    <x v="43"/>
    <m/>
    <m/>
    <m/>
    <m/>
    <m/>
    <n v="7"/>
    <n v="8"/>
    <x v="0"/>
    <s v="HAMPSHIRE"/>
    <s v="Resourced Provision - Cove School"/>
    <d v="2024-09-01T00:00:00"/>
    <m/>
    <x v="6"/>
    <x v="2"/>
    <d v="2025-09-01T00:00:00"/>
    <d v="2025-12-31T00:00:00"/>
    <n v="1"/>
  </r>
  <r>
    <x v="43"/>
    <m/>
    <m/>
    <m/>
    <m/>
    <m/>
    <n v="9"/>
    <n v="10"/>
    <x v="0"/>
    <s v="HAMPSHIRE"/>
    <s v="Resourced Provision - Cove School"/>
    <d v="2022-09-01T00:00:00"/>
    <m/>
    <x v="6"/>
    <x v="0"/>
    <d v="2025-09-01T00:00:00"/>
    <d v="2025-12-31T00:00:00"/>
    <n v="1"/>
  </r>
  <r>
    <x v="44"/>
    <m/>
    <m/>
    <m/>
    <m/>
    <m/>
    <n v="10"/>
    <n v="11"/>
    <x v="0"/>
    <s v="HAMPSHIRE"/>
    <s v="Resourced Provision - The Wavell School"/>
    <d v="2021-09-01T00:00:00"/>
    <m/>
    <x v="7"/>
    <x v="0"/>
    <d v="2025-09-01T00:00:00"/>
    <d v="2025-12-31T00:00:00"/>
    <n v="1"/>
  </r>
  <r>
    <x v="44"/>
    <m/>
    <m/>
    <m/>
    <m/>
    <m/>
    <n v="10"/>
    <n v="11"/>
    <x v="0"/>
    <s v="HAMPSHIRE"/>
    <s v="Resourced Provision - The Wavell School"/>
    <d v="2021-09-01T00:00:00"/>
    <m/>
    <x v="7"/>
    <x v="0"/>
    <d v="2025-09-01T00:00:00"/>
    <d v="2025-12-31T00:00:00"/>
    <n v="1"/>
  </r>
  <r>
    <x v="44"/>
    <m/>
    <m/>
    <m/>
    <m/>
    <m/>
    <n v="10"/>
    <n v="11"/>
    <x v="0"/>
    <s v="HAMPSHIRE"/>
    <s v="Resourced Provision - The Wavell School"/>
    <d v="2021-09-01T00:00:00"/>
    <m/>
    <x v="7"/>
    <x v="0"/>
    <d v="2025-09-01T00:00:00"/>
    <d v="2025-12-31T00:00:00"/>
    <n v="1"/>
  </r>
  <r>
    <x v="44"/>
    <m/>
    <m/>
    <m/>
    <m/>
    <m/>
    <n v="11"/>
    <n v="12"/>
    <x v="0"/>
    <s v="HAMPSHIRE"/>
    <s v="Resourced Provision - The Wavell School"/>
    <d v="2020-09-01T00:00:00"/>
    <d v="2025-08-31T00:00:00"/>
    <x v="7"/>
    <x v="0"/>
    <s v=""/>
    <s v=""/>
    <n v="0"/>
  </r>
  <r>
    <x v="44"/>
    <m/>
    <m/>
    <m/>
    <m/>
    <m/>
    <n v="8"/>
    <n v="9"/>
    <x v="0"/>
    <s v="HAMPSHIRE"/>
    <s v="Resourced Provision - The Wavell School"/>
    <d v="2024-09-01T00:00:00"/>
    <m/>
    <x v="7"/>
    <x v="0"/>
    <d v="2025-09-01T00:00:00"/>
    <d v="2025-12-31T00:00:00"/>
    <n v="1"/>
  </r>
  <r>
    <x v="44"/>
    <m/>
    <m/>
    <m/>
    <m/>
    <m/>
    <n v="11"/>
    <n v="12"/>
    <x v="0"/>
    <s v="HAMPSHIRE"/>
    <s v="Resourced Provision - The Wavell School"/>
    <d v="2020-09-01T00:00:00"/>
    <d v="2025-08-31T00:00:00"/>
    <x v="7"/>
    <x v="0"/>
    <s v=""/>
    <s v=""/>
    <n v="0"/>
  </r>
  <r>
    <x v="44"/>
    <m/>
    <m/>
    <m/>
    <m/>
    <m/>
    <n v="8"/>
    <n v="9"/>
    <x v="0"/>
    <s v="HAMPSHIRE"/>
    <s v="Resourced Provision - The Wavell School"/>
    <d v="2023-09-01T00:00:00"/>
    <m/>
    <x v="7"/>
    <x v="0"/>
    <d v="2025-09-01T00:00:00"/>
    <d v="2025-12-31T00:00:00"/>
    <n v="1"/>
  </r>
  <r>
    <x v="44"/>
    <m/>
    <m/>
    <m/>
    <m/>
    <m/>
    <n v="9"/>
    <n v="10"/>
    <x v="0"/>
    <s v="HAMPSHIRE"/>
    <s v="Resourced Provision - The Wavell School"/>
    <d v="2022-09-01T00:00:00"/>
    <m/>
    <x v="7"/>
    <x v="0"/>
    <d v="2025-09-01T00:00:00"/>
    <d v="2025-12-31T00:00:00"/>
    <n v="1"/>
  </r>
  <r>
    <x v="44"/>
    <m/>
    <m/>
    <m/>
    <m/>
    <m/>
    <n v="10"/>
    <n v="11"/>
    <x v="0"/>
    <s v="HAMPSHIRE"/>
    <s v="Resourced Provision - The Wavell School"/>
    <d v="2021-09-01T00:00:00"/>
    <m/>
    <x v="7"/>
    <x v="0"/>
    <d v="2025-09-01T00:00:00"/>
    <d v="2025-12-31T00:00:00"/>
    <n v="1"/>
  </r>
  <r>
    <x v="44"/>
    <m/>
    <m/>
    <m/>
    <m/>
    <m/>
    <n v="11"/>
    <n v="12"/>
    <x v="0"/>
    <s v="HAMPSHIRE"/>
    <s v="Resourced Provision - The Wavell School"/>
    <d v="2020-09-01T00:00:00"/>
    <d v="2025-08-31T00:00:00"/>
    <x v="7"/>
    <x v="0"/>
    <s v=""/>
    <s v=""/>
    <n v="0"/>
  </r>
  <r>
    <x v="44"/>
    <m/>
    <m/>
    <m/>
    <m/>
    <m/>
    <n v="9"/>
    <n v="10"/>
    <x v="0"/>
    <s v="HAMPSHIRE"/>
    <s v="Resourced Provision - The Wavell School"/>
    <d v="2022-09-01T00:00:00"/>
    <m/>
    <x v="7"/>
    <x v="0"/>
    <d v="2025-09-01T00:00:00"/>
    <d v="2025-12-31T00:00:00"/>
    <n v="1"/>
  </r>
  <r>
    <x v="44"/>
    <m/>
    <m/>
    <m/>
    <m/>
    <m/>
    <n v="11"/>
    <n v="12"/>
    <x v="0"/>
    <s v="HAMPSHIRE"/>
    <s v="Resourced Provision - The Wavell School"/>
    <d v="2020-09-01T00:00:00"/>
    <d v="2025-08-31T00:00:00"/>
    <x v="7"/>
    <x v="0"/>
    <s v=""/>
    <s v=""/>
    <n v="0"/>
  </r>
  <r>
    <x v="44"/>
    <m/>
    <m/>
    <m/>
    <m/>
    <m/>
    <n v="8"/>
    <n v="9"/>
    <x v="0"/>
    <s v="HAMPSHIRE"/>
    <s v="Resourced Provision - The Wavell School"/>
    <d v="2023-09-01T00:00:00"/>
    <m/>
    <x v="7"/>
    <x v="0"/>
    <d v="2025-09-01T00:00:00"/>
    <d v="2025-12-31T00:00:00"/>
    <n v="1"/>
  </r>
  <r>
    <x v="44"/>
    <m/>
    <m/>
    <m/>
    <m/>
    <m/>
    <n v="10"/>
    <n v="11"/>
    <x v="0"/>
    <s v="HAMPSHIRE"/>
    <s v="Resourced Provision - The Wavell School"/>
    <d v="2021-09-01T00:00:00"/>
    <m/>
    <x v="7"/>
    <x v="0"/>
    <d v="2025-09-01T00:00:00"/>
    <d v="2025-12-31T00:00:00"/>
    <n v="1"/>
  </r>
  <r>
    <x v="44"/>
    <m/>
    <m/>
    <m/>
    <m/>
    <m/>
    <n v="11"/>
    <n v="12"/>
    <x v="0"/>
    <s v="HAMPSHIRE"/>
    <s v="Resourced Provision - The Wavell School"/>
    <d v="2020-09-01T00:00:00"/>
    <d v="2025-08-31T00:00:00"/>
    <x v="7"/>
    <x v="0"/>
    <s v=""/>
    <s v=""/>
    <n v="0"/>
  </r>
  <r>
    <x v="44"/>
    <m/>
    <m/>
    <m/>
    <m/>
    <m/>
    <n v="8"/>
    <n v="9"/>
    <x v="0"/>
    <s v="HAMPSHIRE"/>
    <s v="Resourced Provision - The Wavell School"/>
    <d v="2024-09-01T00:00:00"/>
    <m/>
    <x v="7"/>
    <x v="0"/>
    <d v="2025-09-01T00:00:00"/>
    <d v="2025-12-31T00:00:00"/>
    <n v="1"/>
  </r>
  <r>
    <x v="44"/>
    <m/>
    <m/>
    <m/>
    <m/>
    <m/>
    <n v="11"/>
    <n v="12"/>
    <x v="0"/>
    <s v="HAMPSHIRE"/>
    <s v="Resourced Provision - The Wavell School"/>
    <d v="2020-09-01T00:00:00"/>
    <d v="2025-04-22T00:00:00"/>
    <x v="7"/>
    <x v="0"/>
    <s v=""/>
    <s v=""/>
    <n v="0"/>
  </r>
  <r>
    <x v="44"/>
    <m/>
    <m/>
    <m/>
    <m/>
    <m/>
    <n v="11"/>
    <n v="12"/>
    <x v="0"/>
    <s v="HAMPSHIRE"/>
    <s v="Resourced Provision - The Wavell School"/>
    <d v="2021-09-01T00:00:00"/>
    <d v="2025-08-31T00:00:00"/>
    <x v="7"/>
    <x v="0"/>
    <s v=""/>
    <s v=""/>
    <n v="0"/>
  </r>
  <r>
    <x v="44"/>
    <m/>
    <m/>
    <m/>
    <m/>
    <m/>
    <n v="10"/>
    <n v="11"/>
    <x v="0"/>
    <s v="HAMPSHIRE"/>
    <s v="Resourced Provision - The Wavell School"/>
    <d v="2021-09-01T00:00:00"/>
    <m/>
    <x v="7"/>
    <x v="0"/>
    <d v="2025-09-01T00:00:00"/>
    <d v="2025-12-31T00:00:00"/>
    <n v="1"/>
  </r>
  <r>
    <x v="44"/>
    <m/>
    <m/>
    <m/>
    <m/>
    <m/>
    <n v="8"/>
    <n v="9"/>
    <x v="0"/>
    <s v="HAMPSHIRE"/>
    <s v="Resourced Provision - The Wavell School"/>
    <d v="2023-09-01T00:00:00"/>
    <m/>
    <x v="7"/>
    <x v="0"/>
    <d v="2025-09-01T00:00:00"/>
    <d v="2025-12-31T00:00:00"/>
    <n v="1"/>
  </r>
  <r>
    <x v="45"/>
    <m/>
    <m/>
    <m/>
    <m/>
    <m/>
    <n v="11"/>
    <n v="12"/>
    <x v="0"/>
    <s v="HAMPSHIRE"/>
    <s v="Resourced Provision - Fareham Academy"/>
    <d v="2023-06-05T00:00:00"/>
    <d v="2025-08-31T00:00:00"/>
    <x v="6"/>
    <x v="0"/>
    <s v=""/>
    <s v=""/>
    <n v="0"/>
  </r>
  <r>
    <x v="45"/>
    <m/>
    <m/>
    <m/>
    <m/>
    <m/>
    <n v="7"/>
    <n v="8"/>
    <x v="0"/>
    <s v="HAMPSHIRE"/>
    <s v="Resourced Provision - Fareham Academy"/>
    <d v="2024-09-01T00:00:00"/>
    <m/>
    <x v="6"/>
    <x v="0"/>
    <d v="2025-09-01T00:00:00"/>
    <d v="2025-12-31T00:00:00"/>
    <n v="1"/>
  </r>
  <r>
    <x v="45"/>
    <m/>
    <m/>
    <m/>
    <m/>
    <m/>
    <n v="7"/>
    <n v="8"/>
    <x v="0"/>
    <s v="HAMPSHIRE"/>
    <s v="Resourced Provision - Fareham Academy"/>
    <d v="2024-09-01T00:00:00"/>
    <m/>
    <x v="6"/>
    <x v="0"/>
    <d v="2025-09-01T00:00:00"/>
    <d v="2025-12-31T00:00:00"/>
    <n v="1"/>
  </r>
  <r>
    <x v="46"/>
    <m/>
    <m/>
    <m/>
    <m/>
    <m/>
    <n v="9"/>
    <n v="10"/>
    <x v="0"/>
    <s v="HAMPSHIRE"/>
    <s v="Resourced Provision - Kings' School"/>
    <d v="2024-11-17T00:00:00"/>
    <m/>
    <x v="8"/>
    <x v="0"/>
    <d v="2025-09-01T00:00:00"/>
    <d v="2025-12-31T00:00:00"/>
    <n v="1"/>
  </r>
  <r>
    <x v="46"/>
    <m/>
    <m/>
    <m/>
    <m/>
    <m/>
    <n v="10"/>
    <n v="11"/>
    <x v="0"/>
    <s v="HAMPSHIRE"/>
    <s v="Resourced Provision - Kings' School"/>
    <d v="2021-09-01T00:00:00"/>
    <m/>
    <x v="8"/>
    <x v="0"/>
    <d v="2025-09-01T00:00:00"/>
    <d v="2025-12-31T00:00:00"/>
    <n v="1"/>
  </r>
  <r>
    <x v="46"/>
    <m/>
    <m/>
    <m/>
    <m/>
    <m/>
    <n v="9"/>
    <n v="10"/>
    <x v="0"/>
    <s v="HAMPSHIRE"/>
    <s v="Resourced Provision - Kings' School"/>
    <d v="2022-09-01T00:00:00"/>
    <m/>
    <x v="8"/>
    <x v="0"/>
    <d v="2025-09-01T00:00:00"/>
    <d v="2025-12-31T00:00:00"/>
    <n v="1"/>
  </r>
  <r>
    <x v="46"/>
    <m/>
    <m/>
    <m/>
    <m/>
    <m/>
    <n v="9"/>
    <n v="10"/>
    <x v="0"/>
    <s v="HAMPSHIRE"/>
    <s v="Resourced Provision - Kings' School"/>
    <d v="2022-09-01T00:00:00"/>
    <m/>
    <x v="8"/>
    <x v="0"/>
    <d v="2025-09-01T00:00:00"/>
    <d v="2025-12-31T00:00:00"/>
    <n v="1"/>
  </r>
  <r>
    <x v="47"/>
    <m/>
    <m/>
    <m/>
    <m/>
    <m/>
    <n v="7"/>
    <n v="8"/>
    <x v="0"/>
    <s v="HAMPSHIRE"/>
    <s v="Resourced Provision - Robert May's School"/>
    <d v="2024-09-01T00:00:00"/>
    <m/>
    <x v="4"/>
    <x v="0"/>
    <d v="2025-09-01T00:00:00"/>
    <d v="2025-12-31T00:00:00"/>
    <n v="1"/>
  </r>
  <r>
    <x v="47"/>
    <m/>
    <m/>
    <m/>
    <m/>
    <m/>
    <n v="11"/>
    <n v="12"/>
    <x v="0"/>
    <s v="HAMPSHIRE"/>
    <s v="Resourced Provision - Robert May's School"/>
    <d v="2020-09-01T00:00:00"/>
    <d v="2025-08-31T00:00:00"/>
    <x v="4"/>
    <x v="0"/>
    <s v=""/>
    <s v=""/>
    <n v="0"/>
  </r>
  <r>
    <x v="47"/>
    <m/>
    <m/>
    <m/>
    <m/>
    <m/>
    <n v="9"/>
    <n v="10"/>
    <x v="0"/>
    <s v="HAMPSHIRE"/>
    <s v="Resourced Provision - Robert May's School"/>
    <d v="2022-09-01T00:00:00"/>
    <m/>
    <x v="4"/>
    <x v="0"/>
    <d v="2025-09-01T00:00:00"/>
    <d v="2025-12-31T00:00:00"/>
    <n v="1"/>
  </r>
  <r>
    <x v="47"/>
    <m/>
    <m/>
    <m/>
    <m/>
    <m/>
    <n v="10"/>
    <n v="11"/>
    <x v="0"/>
    <s v="HAMPSHIRE"/>
    <s v="Resourced Provision - Robert May's School"/>
    <d v="2021-09-01T00:00:00"/>
    <m/>
    <x v="4"/>
    <x v="0"/>
    <d v="2025-09-01T00:00:00"/>
    <d v="2025-12-31T00:00:00"/>
    <n v="1"/>
  </r>
  <r>
    <x v="47"/>
    <m/>
    <m/>
    <m/>
    <m/>
    <m/>
    <n v="9"/>
    <n v="10"/>
    <x v="0"/>
    <s v="HAMPSHIRE"/>
    <s v="Resourced Provision - Robert May's School"/>
    <d v="2022-09-01T00:00:00"/>
    <m/>
    <x v="4"/>
    <x v="0"/>
    <d v="2025-09-01T00:00:00"/>
    <d v="2025-12-31T00:00:00"/>
    <n v="1"/>
  </r>
  <r>
    <x v="47"/>
    <m/>
    <m/>
    <m/>
    <m/>
    <m/>
    <n v="10"/>
    <n v="11"/>
    <x v="0"/>
    <s v="HAMPSHIRE"/>
    <s v="Resourced Provision - Robert May's School"/>
    <d v="2020-09-01T00:00:00"/>
    <m/>
    <x v="4"/>
    <x v="0"/>
    <d v="2025-09-01T00:00:00"/>
    <d v="2025-12-31T00:00:00"/>
    <n v="1"/>
  </r>
  <r>
    <x v="47"/>
    <m/>
    <m/>
    <m/>
    <m/>
    <m/>
    <n v="10"/>
    <n v="11"/>
    <x v="0"/>
    <s v="HAMPSHIRE"/>
    <s v="Resourced Provision - Robert May's School"/>
    <d v="2021-09-01T00:00:00"/>
    <m/>
    <x v="4"/>
    <x v="0"/>
    <d v="2025-09-01T00:00:00"/>
    <d v="2025-12-31T00:00:00"/>
    <n v="1"/>
  </r>
  <r>
    <x v="47"/>
    <m/>
    <m/>
    <m/>
    <m/>
    <m/>
    <n v="11"/>
    <n v="12"/>
    <x v="0"/>
    <s v="HAMPSHIRE"/>
    <s v="Resourced Provision - Robert May's School"/>
    <d v="2020-09-01T00:00:00"/>
    <d v="2025-08-31T00:00:00"/>
    <x v="4"/>
    <x v="0"/>
    <s v=""/>
    <s v=""/>
    <n v="0"/>
  </r>
  <r>
    <x v="47"/>
    <m/>
    <m/>
    <m/>
    <m/>
    <m/>
    <n v="10"/>
    <n v="11"/>
    <x v="0"/>
    <s v="HAMPSHIRE"/>
    <s v="Resourced Provision - Robert May's School"/>
    <d v="2021-09-01T00:00:00"/>
    <m/>
    <x v="4"/>
    <x v="0"/>
    <d v="2025-09-01T00:00:00"/>
    <d v="2025-12-31T00:00:00"/>
    <n v="1"/>
  </r>
  <r>
    <x v="47"/>
    <m/>
    <m/>
    <m/>
    <m/>
    <m/>
    <n v="11"/>
    <n v="12"/>
    <x v="0"/>
    <s v="HAMPSHIRE"/>
    <s v="Resourced Provision - Robert May's School"/>
    <d v="2020-09-01T00:00:00"/>
    <d v="2025-08-31T00:00:00"/>
    <x v="4"/>
    <x v="0"/>
    <s v=""/>
    <s v=""/>
    <n v="0"/>
  </r>
  <r>
    <x v="47"/>
    <m/>
    <m/>
    <m/>
    <m/>
    <m/>
    <n v="7"/>
    <n v="8"/>
    <x v="0"/>
    <s v="HAMPSHIRE"/>
    <s v="Resourced Provision - Robert May's School"/>
    <d v="2024-09-01T00:00:00"/>
    <m/>
    <x v="4"/>
    <x v="0"/>
    <d v="2025-09-01T00:00:00"/>
    <d v="2025-12-31T00:00:00"/>
    <n v="1"/>
  </r>
  <r>
    <x v="47"/>
    <m/>
    <m/>
    <m/>
    <m/>
    <m/>
    <n v="6"/>
    <n v="7"/>
    <x v="0"/>
    <s v="HAMPSHIRE"/>
    <s v="Resourced Provision - Robert May's School"/>
    <d v="2025-09-01T00:00:00"/>
    <m/>
    <x v="4"/>
    <x v="0"/>
    <d v="2025-09-01T00:00:00"/>
    <d v="2025-12-31T00:00:00"/>
    <n v="1"/>
  </r>
  <r>
    <x v="47"/>
    <m/>
    <m/>
    <m/>
    <m/>
    <m/>
    <n v="9"/>
    <n v="10"/>
    <x v="0"/>
    <s v="HAMPSHIRE"/>
    <s v="Resourced Provision - Robert May's School"/>
    <d v="2025-01-06T00:00:00"/>
    <m/>
    <x v="4"/>
    <x v="0"/>
    <d v="2025-09-01T00:00:00"/>
    <d v="2025-12-31T00:00:00"/>
    <n v="1"/>
  </r>
  <r>
    <x v="47"/>
    <m/>
    <m/>
    <m/>
    <m/>
    <m/>
    <n v="9"/>
    <n v="10"/>
    <x v="0"/>
    <s v="HAMPSHIRE"/>
    <s v="Resourced Provision - Robert May's School"/>
    <d v="2022-09-01T00:00:00"/>
    <m/>
    <x v="4"/>
    <x v="0"/>
    <d v="2025-09-01T00:00:00"/>
    <d v="2025-12-31T00:00:00"/>
    <n v="1"/>
  </r>
  <r>
    <x v="47"/>
    <m/>
    <m/>
    <m/>
    <m/>
    <m/>
    <n v="10"/>
    <n v="11"/>
    <x v="0"/>
    <s v="HAMPSHIRE"/>
    <s v="Resourced Provision - Robert May's School"/>
    <d v="2024-02-05T00:00:00"/>
    <d v="2025-08-31T00:00:00"/>
    <x v="4"/>
    <x v="0"/>
    <s v=""/>
    <s v=""/>
    <n v="0"/>
  </r>
  <r>
    <x v="47"/>
    <m/>
    <m/>
    <m/>
    <m/>
    <m/>
    <n v="6"/>
    <n v="7"/>
    <x v="0"/>
    <s v="HAMPSHIRE"/>
    <s v="Resourced Provision - Robert May's School"/>
    <d v="2025-09-01T00:00:00"/>
    <m/>
    <x v="4"/>
    <x v="0"/>
    <d v="2025-09-01T00:00:00"/>
    <d v="2025-12-31T00:00:00"/>
    <n v="1"/>
  </r>
  <r>
    <x v="47"/>
    <m/>
    <m/>
    <m/>
    <m/>
    <m/>
    <n v="8"/>
    <n v="9"/>
    <x v="0"/>
    <s v="HAMPSHIRE"/>
    <s v="Resourced Provision - Robert May's School"/>
    <d v="2025-09-01T00:00:00"/>
    <m/>
    <x v="4"/>
    <x v="0"/>
    <d v="2025-09-01T00:00:00"/>
    <d v="2025-12-31T00:00:00"/>
    <n v="1"/>
  </r>
  <r>
    <x v="48"/>
    <m/>
    <m/>
    <m/>
    <m/>
    <m/>
    <n v="2"/>
    <n v="3"/>
    <x v="0"/>
    <s v="HAMPSHIRE"/>
    <s v="Resourced Provision - Ashley Junior LSU (SLCN)"/>
    <d v="2025-09-01T00:00:00"/>
    <m/>
    <x v="2"/>
    <x v="0"/>
    <d v="2025-09-01T00:00:00"/>
    <d v="2025-12-31T00:00:00"/>
    <n v="1"/>
  </r>
  <r>
    <x v="48"/>
    <m/>
    <m/>
    <m/>
    <m/>
    <m/>
    <n v="5"/>
    <n v="6"/>
    <x v="0"/>
    <s v="HAMPSHIRE"/>
    <s v="Resourced Provision - Ashley Junior LSU (SLCN)"/>
    <d v="2022-09-01T00:00:00"/>
    <m/>
    <x v="2"/>
    <x v="0"/>
    <d v="2025-09-01T00:00:00"/>
    <d v="2025-12-31T00:00:00"/>
    <n v="1"/>
  </r>
  <r>
    <x v="48"/>
    <m/>
    <m/>
    <m/>
    <m/>
    <m/>
    <n v="5"/>
    <n v="6"/>
    <x v="0"/>
    <s v="HAMPSHIRE"/>
    <s v="Resourced Provision - Ashley Junior LSU (MLD)"/>
    <d v="2022-09-01T00:00:00"/>
    <m/>
    <x v="3"/>
    <x v="0"/>
    <d v="2025-09-01T00:00:00"/>
    <d v="2025-12-31T00:00:00"/>
    <n v="1"/>
  </r>
  <r>
    <x v="48"/>
    <m/>
    <m/>
    <m/>
    <m/>
    <m/>
    <n v="5"/>
    <n v="6"/>
    <x v="0"/>
    <s v="HAMPSHIRE"/>
    <s v="Resourced Provision - Ashley Junior LSU (SLCN)"/>
    <d v="2022-09-01T00:00:00"/>
    <m/>
    <x v="2"/>
    <x v="0"/>
    <d v="2025-09-01T00:00:00"/>
    <d v="2025-12-31T00:00:00"/>
    <n v="1"/>
  </r>
  <r>
    <x v="48"/>
    <m/>
    <m/>
    <m/>
    <m/>
    <m/>
    <n v="4"/>
    <n v="5"/>
    <x v="0"/>
    <s v="HAMPSHIRE"/>
    <s v="Resourced Provision - Ashley Junior LSU (MLD)"/>
    <d v="2024-09-01T00:00:00"/>
    <m/>
    <x v="3"/>
    <x v="0"/>
    <d v="2025-09-01T00:00:00"/>
    <d v="2025-12-31T00:00:00"/>
    <n v="1"/>
  </r>
  <r>
    <x v="48"/>
    <m/>
    <m/>
    <m/>
    <m/>
    <m/>
    <n v="3"/>
    <n v="4"/>
    <x v="0"/>
    <s v="HAMPSHIRE"/>
    <s v="Resourced Provision - Ashley Junior LSU (MLD)"/>
    <d v="2024-09-01T00:00:00"/>
    <m/>
    <x v="3"/>
    <x v="0"/>
    <d v="2025-09-01T00:00:00"/>
    <d v="2025-12-31T00:00:00"/>
    <n v="1"/>
  </r>
  <r>
    <x v="48"/>
    <m/>
    <m/>
    <m/>
    <m/>
    <m/>
    <n v="2"/>
    <n v="3"/>
    <x v="0"/>
    <s v="HAMPSHIRE"/>
    <s v="Resourced Provision - Ashley Junior LSU (SLCN)"/>
    <d v="2025-09-01T00:00:00"/>
    <m/>
    <x v="2"/>
    <x v="0"/>
    <d v="2025-09-01T00:00:00"/>
    <d v="2025-12-31T00:00:00"/>
    <n v="1"/>
  </r>
  <r>
    <x v="48"/>
    <m/>
    <m/>
    <m/>
    <m/>
    <m/>
    <n v="6"/>
    <n v="7"/>
    <x v="0"/>
    <s v="HAMPSHIRE"/>
    <s v="Resourced Provision - Ashley Junior LSU (SLCN)"/>
    <d v="2021-09-01T00:00:00"/>
    <d v="2025-08-31T00:00:00"/>
    <x v="2"/>
    <x v="0"/>
    <s v=""/>
    <s v=""/>
    <n v="0"/>
  </r>
  <r>
    <x v="48"/>
    <m/>
    <m/>
    <m/>
    <m/>
    <m/>
    <n v="6"/>
    <n v="7"/>
    <x v="0"/>
    <s v="HAMPSHIRE"/>
    <s v="Resourced Provision - Ashley Junior LSU (SLCN)"/>
    <d v="2021-09-01T00:00:00"/>
    <d v="2025-08-31T00:00:00"/>
    <x v="2"/>
    <x v="0"/>
    <s v=""/>
    <s v=""/>
    <n v="0"/>
  </r>
  <r>
    <x v="48"/>
    <m/>
    <m/>
    <m/>
    <m/>
    <m/>
    <n v="4"/>
    <n v="5"/>
    <x v="0"/>
    <s v="HAMPSHIRE"/>
    <s v="Resourced Provision - Ashley Junior LSU (SLCN)"/>
    <d v="2023-09-01T00:00:00"/>
    <m/>
    <x v="2"/>
    <x v="0"/>
    <d v="2025-09-01T00:00:00"/>
    <d v="2025-12-31T00:00:00"/>
    <n v="1"/>
  </r>
  <r>
    <x v="48"/>
    <m/>
    <m/>
    <m/>
    <m/>
    <m/>
    <n v="5"/>
    <n v="6"/>
    <x v="0"/>
    <s v="HAMPSHIRE"/>
    <s v="Resourced Provision - Ashley Junior LSU (SLCN)"/>
    <d v="2022-09-01T00:00:00"/>
    <m/>
    <x v="2"/>
    <x v="0"/>
    <d v="2025-09-01T00:00:00"/>
    <d v="2025-12-31T00:00:00"/>
    <n v="1"/>
  </r>
  <r>
    <x v="48"/>
    <m/>
    <m/>
    <m/>
    <m/>
    <m/>
    <n v="5"/>
    <n v="6"/>
    <x v="0"/>
    <s v="HAMPSHIRE"/>
    <s v="Resourced Provision - Ashley Junior LSU (SLCN)"/>
    <d v="2022-09-01T00:00:00"/>
    <m/>
    <x v="2"/>
    <x v="0"/>
    <d v="2025-09-01T00:00:00"/>
    <d v="2025-12-31T00:00:00"/>
    <n v="1"/>
  </r>
  <r>
    <x v="48"/>
    <m/>
    <m/>
    <m/>
    <m/>
    <m/>
    <n v="2"/>
    <n v="3"/>
    <x v="0"/>
    <s v="HAMPSHIRE"/>
    <s v="Resourced Provision - Ashley Junior LSU (SLCN)"/>
    <d v="2025-09-01T00:00:00"/>
    <m/>
    <x v="2"/>
    <x v="0"/>
    <d v="2025-09-01T00:00:00"/>
    <d v="2025-12-31T00:00:00"/>
    <n v="1"/>
  </r>
  <r>
    <x v="48"/>
    <m/>
    <m/>
    <m/>
    <m/>
    <m/>
    <n v="3"/>
    <n v="4"/>
    <x v="0"/>
    <s v="HAMPSHIRE"/>
    <s v="Resourced Provision - Ashley Junior LSU (SLCN)"/>
    <d v="2024-09-01T00:00:00"/>
    <d v="2025-08-31T00:00:00"/>
    <x v="2"/>
    <x v="0"/>
    <s v=""/>
    <s v=""/>
    <n v="0"/>
  </r>
  <r>
    <x v="48"/>
    <m/>
    <m/>
    <m/>
    <m/>
    <m/>
    <n v="4"/>
    <n v="5"/>
    <x v="0"/>
    <s v="HAMPSHIRE"/>
    <s v="Resourced Provision - Ashley Junior LSU (MLD)"/>
    <d v="2023-09-01T00:00:00"/>
    <m/>
    <x v="3"/>
    <x v="0"/>
    <d v="2025-09-01T00:00:00"/>
    <d v="2025-12-31T00:00:00"/>
    <n v="1"/>
  </r>
  <r>
    <x v="48"/>
    <m/>
    <m/>
    <m/>
    <m/>
    <m/>
    <n v="4"/>
    <n v="5"/>
    <x v="0"/>
    <s v="HAMPSHIRE"/>
    <s v="Resourced Provision - Ashley Junior LSU (SLCN)"/>
    <d v="2023-09-01T00:00:00"/>
    <m/>
    <x v="2"/>
    <x v="0"/>
    <d v="2025-09-01T00:00:00"/>
    <d v="2025-12-31T00:00:00"/>
    <n v="1"/>
  </r>
  <r>
    <x v="48"/>
    <m/>
    <m/>
    <m/>
    <m/>
    <m/>
    <n v="4"/>
    <n v="5"/>
    <x v="0"/>
    <s v="HAMPSHIRE"/>
    <s v="Resourced Provision - Ashley Junior LSU (SLCN)"/>
    <d v="2023-09-01T00:00:00"/>
    <m/>
    <x v="2"/>
    <x v="0"/>
    <d v="2025-09-01T00:00:00"/>
    <d v="2025-12-31T00:00:00"/>
    <n v="1"/>
  </r>
  <r>
    <x v="48"/>
    <m/>
    <m/>
    <m/>
    <m/>
    <m/>
    <n v="5"/>
    <n v="6"/>
    <x v="0"/>
    <s v="HAMPSHIRE"/>
    <s v="Resourced Provision - Ashley Junior LSU (MLD)"/>
    <d v="2022-09-01T00:00:00"/>
    <m/>
    <x v="3"/>
    <x v="0"/>
    <d v="2025-09-01T00:00:00"/>
    <d v="2025-12-31T00:00:00"/>
    <n v="1"/>
  </r>
  <r>
    <x v="49"/>
    <m/>
    <m/>
    <m/>
    <m/>
    <m/>
    <n v="5"/>
    <n v="6"/>
    <x v="0"/>
    <s v="HAMPSHIRE"/>
    <s v="Resourced Provision - Crofton School"/>
    <d v="2025-09-01T00:00:00"/>
    <m/>
    <x v="4"/>
    <x v="0"/>
    <d v="2025-09-01T00:00:00"/>
    <d v="2025-12-31T00:00:00"/>
    <n v="1"/>
  </r>
  <r>
    <x v="49"/>
    <m/>
    <m/>
    <m/>
    <m/>
    <m/>
    <n v="7"/>
    <n v="8"/>
    <x v="0"/>
    <s v="HAMPSHIRE"/>
    <s v="Resourced Provision - Crofton School"/>
    <d v="2024-09-01T00:00:00"/>
    <m/>
    <x v="4"/>
    <x v="0"/>
    <d v="2025-09-01T00:00:00"/>
    <d v="2025-12-31T00:00:00"/>
    <n v="1"/>
  </r>
  <r>
    <x v="49"/>
    <m/>
    <m/>
    <m/>
    <m/>
    <m/>
    <n v="10"/>
    <n v="11"/>
    <x v="0"/>
    <s v="HAMPSHIRE"/>
    <s v="Resourced Provision - Crofton School"/>
    <d v="2021-09-01T00:00:00"/>
    <m/>
    <x v="4"/>
    <x v="0"/>
    <d v="2025-09-01T00:00:00"/>
    <d v="2025-12-31T00:00:00"/>
    <n v="1"/>
  </r>
  <r>
    <x v="49"/>
    <m/>
    <m/>
    <m/>
    <m/>
    <m/>
    <n v="11"/>
    <n v="12"/>
    <x v="0"/>
    <s v="HAMPSHIRE"/>
    <s v="Resourced Provision - Crofton School"/>
    <d v="2021-09-01T00:00:00"/>
    <d v="2025-08-31T00:00:00"/>
    <x v="4"/>
    <x v="0"/>
    <s v=""/>
    <s v=""/>
    <n v="0"/>
  </r>
  <r>
    <x v="49"/>
    <m/>
    <m/>
    <m/>
    <m/>
    <m/>
    <n v="9"/>
    <n v="10"/>
    <x v="0"/>
    <s v="HAMPSHIRE"/>
    <s v="Resourced Provision - Crofton School"/>
    <d v="2022-09-01T00:00:00"/>
    <m/>
    <x v="4"/>
    <x v="0"/>
    <d v="2025-09-01T00:00:00"/>
    <d v="2025-12-31T00:00:00"/>
    <n v="1"/>
  </r>
  <r>
    <x v="49"/>
    <m/>
    <m/>
    <m/>
    <m/>
    <m/>
    <n v="11"/>
    <n v="12"/>
    <x v="0"/>
    <s v="HAMPSHIRE"/>
    <s v="Resourced Provision - Crofton School"/>
    <d v="2020-09-01T00:00:00"/>
    <d v="2025-08-31T00:00:00"/>
    <x v="4"/>
    <x v="0"/>
    <s v=""/>
    <s v=""/>
    <n v="0"/>
  </r>
  <r>
    <x v="49"/>
    <m/>
    <m/>
    <m/>
    <m/>
    <m/>
    <n v="8"/>
    <n v="9"/>
    <x v="0"/>
    <s v="HAMPSHIRE"/>
    <s v="Resourced Provision - Crofton School"/>
    <d v="2023-09-01T00:00:00"/>
    <m/>
    <x v="4"/>
    <x v="0"/>
    <d v="2025-09-01T00:00:00"/>
    <d v="2025-12-31T00:00:00"/>
    <n v="1"/>
  </r>
  <r>
    <x v="49"/>
    <m/>
    <m/>
    <m/>
    <m/>
    <m/>
    <n v="7"/>
    <n v="8"/>
    <x v="0"/>
    <s v="HAMPSHIRE"/>
    <s v="Resourced Provision - Crofton School"/>
    <d v="2024-09-01T00:00:00"/>
    <m/>
    <x v="4"/>
    <x v="0"/>
    <d v="2025-09-01T00:00:00"/>
    <d v="2025-12-31T00:00:00"/>
    <n v="1"/>
  </r>
  <r>
    <x v="49"/>
    <m/>
    <m/>
    <m/>
    <m/>
    <m/>
    <n v="9"/>
    <n v="10"/>
    <x v="0"/>
    <s v="HAMPSHIRE"/>
    <s v="Resourced Provision - Crofton School"/>
    <d v="2023-03-13T00:00:00"/>
    <m/>
    <x v="4"/>
    <x v="0"/>
    <d v="2025-09-01T00:00:00"/>
    <d v="2025-12-31T00:00:00"/>
    <n v="1"/>
  </r>
  <r>
    <x v="49"/>
    <m/>
    <m/>
    <m/>
    <m/>
    <m/>
    <n v="5"/>
    <n v="6"/>
    <x v="0"/>
    <s v="HAMPSHIRE"/>
    <s v="Resourced Provision - Crofton School"/>
    <d v="2025-09-01T00:00:00"/>
    <m/>
    <x v="4"/>
    <x v="0"/>
    <d v="2025-09-01T00:00:00"/>
    <d v="2025-12-31T00:00:00"/>
    <n v="1"/>
  </r>
  <r>
    <x v="49"/>
    <m/>
    <m/>
    <m/>
    <m/>
    <m/>
    <n v="8"/>
    <n v="9"/>
    <x v="0"/>
    <s v="HAMPSHIRE"/>
    <s v="Resourced Provision - Crofton School"/>
    <d v="2023-09-01T00:00:00"/>
    <m/>
    <x v="4"/>
    <x v="0"/>
    <d v="2025-09-01T00:00:00"/>
    <d v="2025-12-31T00:00:00"/>
    <n v="1"/>
  </r>
  <r>
    <x v="49"/>
    <m/>
    <m/>
    <m/>
    <m/>
    <m/>
    <n v="7"/>
    <n v="8"/>
    <x v="0"/>
    <s v="HAMPSHIRE"/>
    <s v="Resourced Provision - Crofton School"/>
    <d v="2024-09-01T00:00:00"/>
    <m/>
    <x v="4"/>
    <x v="0"/>
    <d v="2025-09-01T00:00:00"/>
    <d v="2025-12-31T00:00:00"/>
    <n v="1"/>
  </r>
  <r>
    <x v="49"/>
    <m/>
    <m/>
    <m/>
    <m/>
    <m/>
    <n v="10"/>
    <n v="11"/>
    <x v="0"/>
    <s v="HAMPSHIRE"/>
    <s v="Resourced Provision - Crofton School"/>
    <d v="2021-09-01T00:00:00"/>
    <m/>
    <x v="4"/>
    <x v="0"/>
    <d v="2025-09-01T00:00:00"/>
    <d v="2025-12-31T00:00:00"/>
    <n v="1"/>
  </r>
  <r>
    <x v="49"/>
    <m/>
    <m/>
    <m/>
    <m/>
    <m/>
    <n v="8"/>
    <n v="9"/>
    <x v="0"/>
    <s v="HAMPSHIRE"/>
    <s v="Resourced Provision - Crofton School"/>
    <d v="2023-09-01T00:00:00"/>
    <m/>
    <x v="4"/>
    <x v="0"/>
    <d v="2025-09-01T00:00:00"/>
    <d v="2025-12-31T00:00:00"/>
    <n v="1"/>
  </r>
  <r>
    <x v="50"/>
    <m/>
    <m/>
    <m/>
    <m/>
    <m/>
    <n v="5"/>
    <n v="6"/>
    <x v="0"/>
    <s v="HAMPSHIRE"/>
    <s v="Resourced Provision - Applemore College (ASC)"/>
    <d v="2025-09-01T00:00:00"/>
    <m/>
    <x v="4"/>
    <x v="0"/>
    <d v="2025-09-01T00:00:00"/>
    <d v="2025-12-31T00:00:00"/>
    <n v="1"/>
  </r>
  <r>
    <x v="50"/>
    <m/>
    <m/>
    <m/>
    <m/>
    <m/>
    <n v="5"/>
    <n v="6"/>
    <x v="0"/>
    <s v="HAMPSHIRE"/>
    <s v="Resourced Provision - Applemore College (ASC)"/>
    <d v="2025-09-01T00:00:00"/>
    <m/>
    <x v="4"/>
    <x v="0"/>
    <d v="2025-09-01T00:00:00"/>
    <d v="2025-12-31T00:00:00"/>
    <n v="1"/>
  </r>
  <r>
    <x v="50"/>
    <m/>
    <m/>
    <m/>
    <m/>
    <m/>
    <n v="9"/>
    <n v="10"/>
    <x v="0"/>
    <s v="HAMPSHIRE"/>
    <s v="Resourced Provision - Applemore College (SpLD)"/>
    <d v="2022-09-01T00:00:00"/>
    <m/>
    <x v="7"/>
    <x v="0"/>
    <d v="2025-09-01T00:00:00"/>
    <d v="2025-12-31T00:00:00"/>
    <n v="1"/>
  </r>
  <r>
    <x v="50"/>
    <m/>
    <m/>
    <m/>
    <m/>
    <m/>
    <n v="7"/>
    <n v="8"/>
    <x v="0"/>
    <s v="HAMPSHIRE"/>
    <s v="Resourced Provision - Applemore College (SpLD)"/>
    <d v="2024-09-01T00:00:00"/>
    <m/>
    <x v="7"/>
    <x v="0"/>
    <d v="2025-09-01T00:00:00"/>
    <d v="2025-12-31T00:00:00"/>
    <n v="1"/>
  </r>
  <r>
    <x v="50"/>
    <m/>
    <m/>
    <m/>
    <m/>
    <m/>
    <n v="11"/>
    <n v="12"/>
    <x v="0"/>
    <s v="HAMPSHIRE"/>
    <s v="Resourced Provision - Applemore College (SpLD)"/>
    <d v="2020-09-01T00:00:00"/>
    <d v="2025-08-31T00:00:00"/>
    <x v="7"/>
    <x v="0"/>
    <s v=""/>
    <s v=""/>
    <n v="0"/>
  </r>
  <r>
    <x v="50"/>
    <m/>
    <m/>
    <m/>
    <m/>
    <m/>
    <n v="10"/>
    <n v="11"/>
    <x v="0"/>
    <s v="HAMPSHIRE"/>
    <s v="Resourced Provision - Applemore College (SpLD)"/>
    <d v="2021-09-01T00:00:00"/>
    <m/>
    <x v="7"/>
    <x v="0"/>
    <d v="2025-09-01T00:00:00"/>
    <d v="2025-12-31T00:00:00"/>
    <n v="1"/>
  </r>
  <r>
    <x v="50"/>
    <m/>
    <m/>
    <m/>
    <m/>
    <m/>
    <n v="7"/>
    <n v="8"/>
    <x v="0"/>
    <s v="HAMPSHIRE"/>
    <s v="Resourced Provision - Applemore College (SpLD)"/>
    <d v="2024-09-01T00:00:00"/>
    <m/>
    <x v="7"/>
    <x v="0"/>
    <d v="2025-09-01T00:00:00"/>
    <d v="2025-12-31T00:00:00"/>
    <n v="1"/>
  </r>
  <r>
    <x v="50"/>
    <m/>
    <m/>
    <m/>
    <m/>
    <m/>
    <n v="5"/>
    <n v="6"/>
    <x v="0"/>
    <s v="HAMPSHIRE"/>
    <s v="Resourced Provision - Applemore College (ASC)"/>
    <d v="2025-09-01T00:00:00"/>
    <m/>
    <x v="4"/>
    <x v="0"/>
    <d v="2025-09-01T00:00:00"/>
    <d v="2025-12-31T00:00:00"/>
    <n v="1"/>
  </r>
  <r>
    <x v="50"/>
    <m/>
    <m/>
    <m/>
    <m/>
    <m/>
    <n v="9"/>
    <n v="10"/>
    <x v="0"/>
    <s v="HAMPSHIRE"/>
    <s v="Resourced Provision - Applemore College (SpLD)"/>
    <d v="2022-09-01T00:00:00"/>
    <m/>
    <x v="7"/>
    <x v="0"/>
    <d v="2025-09-01T00:00:00"/>
    <d v="2025-12-31T00:00:00"/>
    <n v="1"/>
  </r>
  <r>
    <x v="50"/>
    <m/>
    <m/>
    <m/>
    <m/>
    <m/>
    <n v="8"/>
    <n v="9"/>
    <x v="0"/>
    <s v="HAMPSHIRE"/>
    <s v="Resourced Provision - Applemore College (SpLD)"/>
    <d v="2025-09-01T00:00:00"/>
    <m/>
    <x v="7"/>
    <x v="0"/>
    <d v="2025-09-01T00:00:00"/>
    <d v="2025-12-31T00:00:00"/>
    <n v="1"/>
  </r>
  <r>
    <x v="50"/>
    <m/>
    <m/>
    <m/>
    <m/>
    <m/>
    <n v="10"/>
    <n v="11"/>
    <x v="0"/>
    <s v="HAMPSHIRE"/>
    <s v="Resourced Provision - Applemore College (SpLD)"/>
    <d v="2021-09-01T00:00:00"/>
    <m/>
    <x v="7"/>
    <x v="0"/>
    <d v="2025-09-01T00:00:00"/>
    <d v="2025-12-31T00:00:00"/>
    <n v="1"/>
  </r>
  <r>
    <x v="50"/>
    <m/>
    <m/>
    <m/>
    <m/>
    <m/>
    <n v="10"/>
    <n v="11"/>
    <x v="0"/>
    <s v="HAMPSHIRE"/>
    <s v="Resourced Provision - Applemore College (SpLD)"/>
    <d v="2021-09-01T00:00:00"/>
    <m/>
    <x v="7"/>
    <x v="0"/>
    <d v="2025-09-01T00:00:00"/>
    <d v="2025-12-31T00:00:00"/>
    <n v="1"/>
  </r>
  <r>
    <x v="50"/>
    <m/>
    <m/>
    <m/>
    <m/>
    <m/>
    <n v="11"/>
    <n v="12"/>
    <x v="0"/>
    <s v="HAMPSHIRE"/>
    <s v="Resourced Provision - Applemore College (SpLD)"/>
    <d v="2020-09-01T00:00:00"/>
    <d v="2025-08-31T00:00:00"/>
    <x v="7"/>
    <x v="0"/>
    <s v=""/>
    <s v=""/>
    <n v="0"/>
  </r>
  <r>
    <x v="50"/>
    <m/>
    <m/>
    <m/>
    <m/>
    <m/>
    <n v="11"/>
    <n v="12"/>
    <x v="0"/>
    <s v="HAMPSHIRE"/>
    <s v="Resourced Provision - Applemore College (SpLD)"/>
    <d v="2020-09-01T00:00:00"/>
    <d v="2025-08-31T00:00:00"/>
    <x v="7"/>
    <x v="0"/>
    <s v=""/>
    <s v=""/>
    <n v="0"/>
  </r>
  <r>
    <x v="50"/>
    <m/>
    <m/>
    <m/>
    <m/>
    <m/>
    <n v="9"/>
    <n v="10"/>
    <x v="0"/>
    <s v="HAMPSHIRE"/>
    <s v="Resourced Provision - Applemore College (SpLD)"/>
    <d v="2022-09-01T00:00:00"/>
    <m/>
    <x v="7"/>
    <x v="0"/>
    <d v="2025-09-01T00:00:00"/>
    <d v="2025-12-31T00:00:00"/>
    <n v="1"/>
  </r>
  <r>
    <x v="50"/>
    <m/>
    <m/>
    <m/>
    <m/>
    <m/>
    <n v="11"/>
    <n v="12"/>
    <x v="0"/>
    <s v="HAMPSHIRE"/>
    <s v="Resourced Provision - Applemore College (SpLD)"/>
    <d v="2021-09-01T00:00:00"/>
    <d v="2025-08-31T00:00:00"/>
    <x v="7"/>
    <x v="0"/>
    <s v=""/>
    <s v=""/>
    <n v="0"/>
  </r>
  <r>
    <x v="51"/>
    <m/>
    <m/>
    <m/>
    <m/>
    <m/>
    <n v="7"/>
    <n v="8"/>
    <x v="0"/>
    <s v="HAMPSHIRE"/>
    <s v="Resourced Provision - Cams Hill School"/>
    <d v="2024-09-16T00:00:00"/>
    <m/>
    <x v="5"/>
    <x v="0"/>
    <d v="2025-09-01T00:00:00"/>
    <d v="2025-12-31T00:00:00"/>
    <n v="1"/>
  </r>
  <r>
    <x v="51"/>
    <m/>
    <m/>
    <m/>
    <m/>
    <m/>
    <n v="7"/>
    <n v="8"/>
    <x v="0"/>
    <s v="HAMPSHIRE"/>
    <s v="Resourced Provision - Cams Hill School"/>
    <d v="2024-09-01T00:00:00"/>
    <m/>
    <x v="5"/>
    <x v="0"/>
    <d v="2025-09-01T00:00:00"/>
    <d v="2025-12-31T00:00:00"/>
    <n v="1"/>
  </r>
  <r>
    <x v="51"/>
    <m/>
    <m/>
    <m/>
    <m/>
    <m/>
    <n v="8"/>
    <n v="9"/>
    <x v="0"/>
    <s v="HAMPSHIRE"/>
    <s v="Resourced Provision - Cams Hill School"/>
    <d v="2024-09-01T00:00:00"/>
    <m/>
    <x v="5"/>
    <x v="0"/>
    <d v="2025-09-01T00:00:00"/>
    <d v="2025-12-31T00:00:00"/>
    <n v="1"/>
  </r>
  <r>
    <x v="51"/>
    <m/>
    <m/>
    <m/>
    <m/>
    <m/>
    <n v="7"/>
    <n v="8"/>
    <x v="0"/>
    <s v="HAMPSHIRE"/>
    <s v="Resourced Provision - Cams Hill School"/>
    <d v="2024-10-07T00:00:00"/>
    <m/>
    <x v="5"/>
    <x v="0"/>
    <d v="2025-09-01T00:00:00"/>
    <d v="2025-12-31T00:00:00"/>
    <n v="1"/>
  </r>
  <r>
    <x v="51"/>
    <m/>
    <m/>
    <m/>
    <m/>
    <m/>
    <n v="7"/>
    <n v="8"/>
    <x v="0"/>
    <s v="HAMPSHIRE"/>
    <s v="Resourced Provision - Cams Hill School"/>
    <d v="2024-09-25T00:00:00"/>
    <m/>
    <x v="5"/>
    <x v="0"/>
    <d v="2025-09-01T00:00:00"/>
    <d v="2025-12-31T00:00:00"/>
    <n v="1"/>
  </r>
  <r>
    <x v="0"/>
    <m/>
    <m/>
    <m/>
    <m/>
    <m/>
    <n v="2"/>
    <n v="3"/>
    <x v="3"/>
    <s v="BOURNEMOUTH, CHRISTCHURCH and POOLE"/>
    <s v="Resourced Provision - Ashley Infant School"/>
    <d v="2023-10-11T00:00:00"/>
    <d v="2025-08-31T00:00:00"/>
    <x v="0"/>
    <x v="0"/>
    <s v=""/>
    <s v=""/>
    <n v="0"/>
  </r>
  <r>
    <x v="26"/>
    <m/>
    <m/>
    <m/>
    <m/>
    <m/>
    <n v="4"/>
    <n v="5"/>
    <x v="3"/>
    <s v="BOURNEMOUTH, CHRISTCHURCH and POOLE"/>
    <s v="Resourced Provision - Pennington Junior School"/>
    <d v="2023-09-01T00:00:00"/>
    <m/>
    <x v="5"/>
    <x v="0"/>
    <d v="2025-09-01T00:00:00"/>
    <d v="2025-12-31T00:00:00"/>
    <n v="1"/>
  </r>
  <r>
    <x v="25"/>
    <m/>
    <m/>
    <m/>
    <m/>
    <m/>
    <n v="5"/>
    <n v="6"/>
    <x v="2"/>
    <s v="PORTSMOUTH"/>
    <s v="Resourced Provision - Medstead CofE Primary School"/>
    <d v="2024-11-18T00:00:00"/>
    <m/>
    <x v="6"/>
    <x v="2"/>
    <d v="2025-09-01T00:00:00"/>
    <d v="2025-12-31T00:00:00"/>
    <n v="1"/>
  </r>
  <r>
    <x v="27"/>
    <m/>
    <m/>
    <m/>
    <m/>
    <m/>
    <n v="0"/>
    <n v="1"/>
    <x v="2"/>
    <s v="PORTSMOUTH"/>
    <s v="Resourced Provision - St Judes Catholic Primary School"/>
    <d v="2024-09-01T00:00:00"/>
    <m/>
    <x v="6"/>
    <x v="2"/>
    <d v="2025-09-01T00:00:00"/>
    <d v="2025-12-31T00:00:00"/>
    <n v="1"/>
  </r>
  <r>
    <x v="15"/>
    <m/>
    <m/>
    <m/>
    <m/>
    <m/>
    <n v="2"/>
    <n v="3"/>
    <x v="4"/>
    <s v="SOUTHAMPTON"/>
    <s v="Resourced Provision - Kings Copse Primary School"/>
    <d v="2023-09-01T00:00:00"/>
    <m/>
    <x v="1"/>
    <x v="1"/>
    <d v="2025-09-01T00:00:00"/>
    <d v="2025-12-31T00:00:00"/>
    <n v="1"/>
  </r>
  <r>
    <x v="15"/>
    <m/>
    <m/>
    <m/>
    <m/>
    <m/>
    <n v="6"/>
    <n v="7"/>
    <x v="4"/>
    <s v="SOUTHAMPTON"/>
    <s v="Resourced Provision - Kings Copse Primary School"/>
    <d v="2023-04-01T00:00:00"/>
    <d v="2025-08-31T00:00:00"/>
    <x v="1"/>
    <x v="0"/>
    <s v=""/>
    <s v=""/>
    <n v="0"/>
  </r>
  <r>
    <x v="15"/>
    <m/>
    <m/>
    <m/>
    <m/>
    <m/>
    <n v="-1"/>
    <n v="0"/>
    <x v="1"/>
    <s v="WEST SUSSEX"/>
    <s v="Resourced Provision - Kings Copse Primary School"/>
    <d v="2025-09-01T00:00:00"/>
    <m/>
    <x v="1"/>
    <x v="0"/>
    <d v="2025-09-01T00:00:00"/>
    <d v="2025-12-31T00:00:00"/>
    <n v="1"/>
  </r>
  <r>
    <x v="25"/>
    <m/>
    <m/>
    <m/>
    <m/>
    <m/>
    <n v="0"/>
    <n v="1"/>
    <x v="4"/>
    <s v="SOUTHAMPTON"/>
    <s v="Resourced Provision - Medstead CofE Primary School"/>
    <d v="2024-09-06T00:00:00"/>
    <m/>
    <x v="6"/>
    <x v="2"/>
    <d v="2025-09-01T00:00:00"/>
    <d v="2025-12-31T00:00:00"/>
    <n v="1"/>
  </r>
  <r>
    <x v="32"/>
    <m/>
    <m/>
    <m/>
    <m/>
    <m/>
    <n v="10"/>
    <n v="11"/>
    <x v="4"/>
    <s v="SOUTHAMPTON"/>
    <s v="Resourced Provision - The Toynbee School"/>
    <d v="2021-09-02T00:00:00"/>
    <m/>
    <x v="1"/>
    <x v="0"/>
    <d v="2025-09-01T00:00:00"/>
    <d v="2025-12-31T00:00:00"/>
    <n v="1"/>
  </r>
  <r>
    <x v="32"/>
    <m/>
    <m/>
    <m/>
    <m/>
    <m/>
    <n v="10"/>
    <n v="11"/>
    <x v="4"/>
    <s v="SOUTHAMPTON"/>
    <s v="Resourced Provision - The Toynbee School"/>
    <d v="2021-09-02T00:00:00"/>
    <m/>
    <x v="1"/>
    <x v="0"/>
    <d v="2025-09-01T00:00:00"/>
    <d v="2025-12-31T00:00:00"/>
    <n v="1"/>
  </r>
  <r>
    <x v="32"/>
    <m/>
    <m/>
    <m/>
    <m/>
    <m/>
    <n v="7"/>
    <n v="8"/>
    <x v="4"/>
    <s v="SOUTHAMPTON"/>
    <s v="Resourced Provision - The Toynbee School"/>
    <d v="2024-09-01T00:00:00"/>
    <m/>
    <x v="1"/>
    <x v="0"/>
    <d v="2025-09-01T00:00:00"/>
    <d v="2025-12-31T00:00:00"/>
    <n v="1"/>
  </r>
  <r>
    <x v="32"/>
    <m/>
    <m/>
    <m/>
    <m/>
    <m/>
    <n v="7"/>
    <n v="8"/>
    <x v="4"/>
    <s v="SOUTHAMPTON"/>
    <s v="Resourced Provision - The Toynbee School"/>
    <d v="2024-09-01T00:00:00"/>
    <m/>
    <x v="1"/>
    <x v="0"/>
    <d v="2025-09-01T00:00:00"/>
    <d v="2025-12-31T00:00:00"/>
    <n v="1"/>
  </r>
  <r>
    <x v="32"/>
    <m/>
    <m/>
    <m/>
    <m/>
    <m/>
    <n v="10"/>
    <n v="11"/>
    <x v="4"/>
    <s v="SOUTHAMPTON"/>
    <s v="Resourced Provision - The Toynbee School"/>
    <d v="2021-09-02T00:00:00"/>
    <m/>
    <x v="1"/>
    <x v="0"/>
    <d v="2025-09-01T00:00:00"/>
    <d v="2025-12-31T00:00:00"/>
    <n v="1"/>
  </r>
  <r>
    <x v="32"/>
    <m/>
    <m/>
    <m/>
    <m/>
    <m/>
    <n v="11"/>
    <n v="12"/>
    <x v="4"/>
    <s v="SOUTHAMPTON"/>
    <s v="Resourced Provision - The Toynbee School"/>
    <d v="2020-09-01T00:00:00"/>
    <d v="2025-08-31T00:00:00"/>
    <x v="1"/>
    <x v="0"/>
    <s v=""/>
    <s v=""/>
    <n v="0"/>
  </r>
  <r>
    <x v="33"/>
    <m/>
    <m/>
    <m/>
    <m/>
    <m/>
    <n v="11"/>
    <n v="12"/>
    <x v="4"/>
    <s v="SOUTHAMPTON"/>
    <s v="Resourced Provision - (PD - S) Noadswood School"/>
    <d v="2020-09-01T00:00:00"/>
    <d v="2025-08-31T00:00:00"/>
    <x v="8"/>
    <x v="0"/>
    <s v=""/>
    <s v=""/>
    <n v="0"/>
  </r>
  <r>
    <x v="32"/>
    <m/>
    <m/>
    <m/>
    <m/>
    <m/>
    <n v="9"/>
    <n v="10"/>
    <x v="5"/>
    <s v="WILTSHIRE"/>
    <s v="Resourced Provision - The Toynbee School"/>
    <d v="2022-09-01T00:00:00"/>
    <m/>
    <x v="1"/>
    <x v="0"/>
    <d v="2025-09-01T00:00:00"/>
    <d v="2025-12-31T00:00:00"/>
    <n v="1"/>
  </r>
  <r>
    <x v="1"/>
    <m/>
    <m/>
    <m/>
    <m/>
    <m/>
    <n v="4"/>
    <n v="5"/>
    <x v="6"/>
    <s v="SURREY"/>
    <s v="Resourced Provision - Great Binfields Primary"/>
    <d v="2020-09-01T00:00:00"/>
    <m/>
    <x v="1"/>
    <x v="0"/>
    <d v="2025-09-01T00:00:00"/>
    <d v="2025-12-31T00:00:00"/>
    <n v="1"/>
  </r>
  <r>
    <x v="18"/>
    <m/>
    <m/>
    <m/>
    <m/>
    <m/>
    <n v="5"/>
    <n v="6"/>
    <x v="6"/>
    <s v="SURREY"/>
    <s v="Resourced Provision - South Farnborough Junior"/>
    <d v="2023-05-26T00:00:00"/>
    <m/>
    <x v="3"/>
    <x v="0"/>
    <d v="2025-09-01T00:00:00"/>
    <d v="2025-12-31T00:00:00"/>
    <n v="1"/>
  </r>
  <r>
    <x v="18"/>
    <m/>
    <m/>
    <m/>
    <m/>
    <m/>
    <n v="6"/>
    <n v="7"/>
    <x v="6"/>
    <s v="SURREY"/>
    <s v="Resourced Provision - South Farnborough Junior"/>
    <d v="2021-09-01T00:00:00"/>
    <d v="2025-08-31T00:00:00"/>
    <x v="3"/>
    <x v="0"/>
    <s v=""/>
    <s v=""/>
    <n v="0"/>
  </r>
  <r>
    <x v="43"/>
    <m/>
    <m/>
    <m/>
    <m/>
    <m/>
    <n v="9"/>
    <n v="10"/>
    <x v="6"/>
    <s v="SURREY"/>
    <s v="Resourced Provision - Cove School"/>
    <d v="2022-09-01T00:00:00"/>
    <m/>
    <x v="6"/>
    <x v="0"/>
    <d v="2025-09-01T00:00:00"/>
    <d v="2025-12-31T00:00:00"/>
    <n v="1"/>
  </r>
  <r>
    <x v="10"/>
    <m/>
    <m/>
    <m/>
    <m/>
    <m/>
    <n v="3"/>
    <n v="4"/>
    <x v="1"/>
    <s v="WEST SUSSEX"/>
    <s v="Resourced Provision - Liss Junior School"/>
    <d v="2024-09-01T00:00:00"/>
    <m/>
    <x v="3"/>
    <x v="0"/>
    <d v="2025-09-01T00:00:00"/>
    <d v="2025-12-31T00:00:00"/>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39">
  <r>
    <x v="0"/>
    <m/>
    <m/>
    <m/>
    <m/>
    <m/>
    <n v="0"/>
    <n v="1"/>
    <n v="850"/>
    <s v="HAMPSHIRE"/>
    <s v="Resourced Provision - Ashley Infant School"/>
    <d v="2024-09-01T00:00:00"/>
    <m/>
    <x v="0"/>
    <n v="0"/>
    <d v="2025-09-01T00:00:00"/>
    <d v="2025-12-31T00:00:00"/>
    <n v="1"/>
  </r>
  <r>
    <x v="0"/>
    <m/>
    <m/>
    <m/>
    <m/>
    <m/>
    <n v="0"/>
    <n v="1"/>
    <n v="850"/>
    <s v="HAMPSHIRE"/>
    <s v="Resourced Provision - Ashley Infant School"/>
    <d v="2025-09-01T00:00:00"/>
    <m/>
    <x v="0"/>
    <n v="0"/>
    <d v="2025-09-01T00:00:00"/>
    <d v="2025-12-31T00:00:00"/>
    <n v="1"/>
  </r>
  <r>
    <x v="0"/>
    <m/>
    <m/>
    <m/>
    <m/>
    <m/>
    <n v="-1"/>
    <n v="0"/>
    <n v="850"/>
    <s v="HAMPSHIRE"/>
    <s v="Resourced Provision - Ashley Infant School"/>
    <d v="2025-09-01T00:00:00"/>
    <m/>
    <x v="0"/>
    <n v="0"/>
    <d v="2025-09-01T00:00:00"/>
    <d v="2025-12-31T00:00:00"/>
    <n v="1"/>
  </r>
  <r>
    <x v="0"/>
    <m/>
    <m/>
    <m/>
    <m/>
    <m/>
    <n v="0"/>
    <n v="1"/>
    <n v="850"/>
    <s v="HAMPSHIRE"/>
    <s v="Resourced Provision - Ashley Infant School"/>
    <d v="2025-09-01T00:00:00"/>
    <m/>
    <x v="0"/>
    <n v="0"/>
    <d v="2025-09-01T00:00:00"/>
    <d v="2025-12-31T00:00:00"/>
    <n v="1"/>
  </r>
  <r>
    <x v="0"/>
    <m/>
    <m/>
    <m/>
    <m/>
    <m/>
    <n v="-1"/>
    <n v="0"/>
    <n v="850"/>
    <s v="HAMPSHIRE"/>
    <s v="Resourced Provision - Ashley Infant School"/>
    <d v="2025-09-01T00:00:00"/>
    <m/>
    <x v="0"/>
    <n v="0"/>
    <d v="2025-09-01T00:00:00"/>
    <d v="2025-12-31T00:00:00"/>
    <n v="1"/>
  </r>
  <r>
    <x v="0"/>
    <m/>
    <m/>
    <m/>
    <m/>
    <m/>
    <n v="2"/>
    <n v="3"/>
    <n v="850"/>
    <s v="HAMPSHIRE"/>
    <s v="Resourced Provision - Ashley Infant School"/>
    <d v="2023-09-01T00:00:00"/>
    <d v="2025-08-31T00:00:00"/>
    <x v="0"/>
    <n v="0"/>
    <s v=""/>
    <s v=""/>
    <n v="0"/>
  </r>
  <r>
    <x v="0"/>
    <m/>
    <m/>
    <m/>
    <m/>
    <m/>
    <n v="-1"/>
    <n v="0"/>
    <n v="850"/>
    <s v="HAMPSHIRE"/>
    <s v="Resourced Provision - Ashley Infant School"/>
    <d v="2025-09-01T00:00:00"/>
    <m/>
    <x v="0"/>
    <n v="0"/>
    <d v="2025-09-01T00:00:00"/>
    <d v="2025-12-31T00:00:00"/>
    <n v="1"/>
  </r>
  <r>
    <x v="0"/>
    <m/>
    <m/>
    <m/>
    <m/>
    <m/>
    <n v="2"/>
    <n v="3"/>
    <n v="850"/>
    <s v="HAMPSHIRE"/>
    <s v="Resourced Provision - Ashley Infant School"/>
    <d v="2022-09-01T00:00:00"/>
    <d v="2025-08-31T00:00:00"/>
    <x v="0"/>
    <n v="0"/>
    <s v=""/>
    <s v=""/>
    <n v="0"/>
  </r>
  <r>
    <x v="0"/>
    <m/>
    <m/>
    <m/>
    <m/>
    <m/>
    <n v="0"/>
    <n v="1"/>
    <n v="850"/>
    <s v="HAMPSHIRE"/>
    <s v="Resourced Provision - Ashley Infant School"/>
    <d v="2024-09-01T00:00:00"/>
    <m/>
    <x v="0"/>
    <n v="0"/>
    <d v="2025-09-01T00:00:00"/>
    <d v="2025-12-31T00:00:00"/>
    <n v="1"/>
  </r>
  <r>
    <x v="0"/>
    <m/>
    <m/>
    <m/>
    <m/>
    <m/>
    <n v="-1"/>
    <n v="0"/>
    <n v="850"/>
    <s v="HAMPSHIRE"/>
    <s v="Resourced Provision - Ashley Infant School"/>
    <d v="2025-09-01T00:00:00"/>
    <m/>
    <x v="0"/>
    <n v="0"/>
    <d v="2025-09-01T00:00:00"/>
    <d v="2025-12-31T00:00:00"/>
    <n v="1"/>
  </r>
  <r>
    <x v="0"/>
    <m/>
    <m/>
    <m/>
    <m/>
    <m/>
    <n v="2"/>
    <n v="3"/>
    <n v="850"/>
    <s v="HAMPSHIRE"/>
    <s v="Resourced Provision - Ashley Infant School"/>
    <d v="2022-09-01T00:00:00"/>
    <d v="2025-08-31T00:00:00"/>
    <x v="0"/>
    <n v="0"/>
    <s v=""/>
    <s v=""/>
    <n v="0"/>
  </r>
  <r>
    <x v="0"/>
    <m/>
    <m/>
    <m/>
    <m/>
    <m/>
    <n v="0"/>
    <n v="1"/>
    <n v="850"/>
    <s v="HAMPSHIRE"/>
    <s v="Resourced Provision - Ashley Infant School"/>
    <d v="2024-09-01T00:00:00"/>
    <m/>
    <x v="0"/>
    <n v="0"/>
    <d v="2025-09-01T00:00:00"/>
    <d v="2025-12-31T00:00:00"/>
    <n v="1"/>
  </r>
  <r>
    <x v="0"/>
    <m/>
    <m/>
    <m/>
    <m/>
    <m/>
    <n v="1"/>
    <n v="2"/>
    <n v="850"/>
    <s v="HAMPSHIRE"/>
    <s v="Resourced Provision - Ashley Infant School"/>
    <d v="2023-09-01T00:00:00"/>
    <m/>
    <x v="0"/>
    <n v="0"/>
    <d v="2025-09-01T00:00:00"/>
    <d v="2025-12-31T00:00:00"/>
    <n v="1"/>
  </r>
  <r>
    <x v="0"/>
    <m/>
    <m/>
    <m/>
    <m/>
    <m/>
    <n v="-1"/>
    <n v="0"/>
    <n v="850"/>
    <s v="HAMPSHIRE"/>
    <s v="Resourced Provision - Ashley Infant School"/>
    <d v="2025-09-01T00:00:00"/>
    <m/>
    <x v="0"/>
    <n v="0"/>
    <d v="2025-09-01T00:00:00"/>
    <d v="2025-12-31T00:00:00"/>
    <n v="1"/>
  </r>
  <r>
    <x v="0"/>
    <m/>
    <m/>
    <m/>
    <m/>
    <m/>
    <n v="2"/>
    <n v="3"/>
    <n v="850"/>
    <s v="HAMPSHIRE"/>
    <s v="Resourced Provision - Ashley Infant School"/>
    <d v="2022-09-01T00:00:00"/>
    <d v="2025-08-31T00:00:00"/>
    <x v="0"/>
    <n v="0"/>
    <s v=""/>
    <s v=""/>
    <n v="0"/>
  </r>
  <r>
    <x v="0"/>
    <m/>
    <m/>
    <m/>
    <m/>
    <m/>
    <n v="1"/>
    <n v="2"/>
    <n v="850"/>
    <s v="HAMPSHIRE"/>
    <s v="Resourced Provision - Ashley Infant School"/>
    <d v="2023-09-01T00:00:00"/>
    <m/>
    <x v="0"/>
    <n v="0"/>
    <d v="2025-09-01T00:00:00"/>
    <d v="2025-12-31T00:00:00"/>
    <n v="1"/>
  </r>
  <r>
    <x v="0"/>
    <m/>
    <m/>
    <m/>
    <m/>
    <m/>
    <n v="-1"/>
    <n v="0"/>
    <n v="850"/>
    <s v="HAMPSHIRE"/>
    <s v="Resourced Provision - Ashley Infant School"/>
    <d v="2025-09-01T00:00:00"/>
    <m/>
    <x v="0"/>
    <n v="0"/>
    <d v="2025-09-01T00:00:00"/>
    <d v="2025-12-31T00:00:00"/>
    <n v="1"/>
  </r>
  <r>
    <x v="0"/>
    <m/>
    <m/>
    <m/>
    <m/>
    <m/>
    <n v="1"/>
    <n v="2"/>
    <n v="850"/>
    <s v="HAMPSHIRE"/>
    <s v="Resourced Provision - Ashley Infant School"/>
    <d v="2023-09-01T00:00:00"/>
    <m/>
    <x v="0"/>
    <n v="0"/>
    <d v="2025-09-01T00:00:00"/>
    <d v="2025-12-31T00:00:00"/>
    <n v="1"/>
  </r>
  <r>
    <x v="0"/>
    <m/>
    <m/>
    <m/>
    <m/>
    <m/>
    <n v="1"/>
    <n v="2"/>
    <n v="850"/>
    <s v="HAMPSHIRE"/>
    <s v="Resourced Provision - Ashley Infant School"/>
    <d v="2023-09-01T00:00:00"/>
    <m/>
    <x v="0"/>
    <n v="0"/>
    <d v="2025-09-01T00:00:00"/>
    <d v="2025-12-31T00:00:00"/>
    <n v="1"/>
  </r>
  <r>
    <x v="0"/>
    <m/>
    <m/>
    <m/>
    <m/>
    <m/>
    <n v="0"/>
    <n v="1"/>
    <n v="850"/>
    <s v="HAMPSHIRE"/>
    <s v="Resourced Provision - Ashley Infant School"/>
    <d v="2025-09-01T00:00:00"/>
    <m/>
    <x v="0"/>
    <n v="0"/>
    <d v="2025-09-01T00:00:00"/>
    <d v="2025-12-31T00:00:00"/>
    <n v="1"/>
  </r>
  <r>
    <x v="0"/>
    <m/>
    <m/>
    <m/>
    <m/>
    <m/>
    <n v="0"/>
    <n v="1"/>
    <n v="850"/>
    <s v="HAMPSHIRE"/>
    <s v="Resourced Provision - Ashley Infant School"/>
    <d v="2025-09-01T00:00:00"/>
    <m/>
    <x v="0"/>
    <n v="0"/>
    <d v="2025-09-01T00:00:00"/>
    <d v="2025-12-31T00:00:00"/>
    <n v="1"/>
  </r>
  <r>
    <x v="0"/>
    <m/>
    <m/>
    <m/>
    <m/>
    <m/>
    <n v="-1"/>
    <n v="0"/>
    <n v="850"/>
    <s v="HAMPSHIRE"/>
    <s v="Resourced Provision - Ashley Infant School"/>
    <d v="2025-09-01T00:00:00"/>
    <m/>
    <x v="0"/>
    <n v="0"/>
    <d v="2025-09-01T00:00:00"/>
    <d v="2025-12-31T00:00:00"/>
    <n v="1"/>
  </r>
  <r>
    <x v="0"/>
    <m/>
    <m/>
    <m/>
    <m/>
    <m/>
    <n v="2"/>
    <n v="3"/>
    <n v="850"/>
    <s v="HAMPSHIRE"/>
    <s v="Resourced Provision - Ashley Infant School"/>
    <d v="2022-09-01T00:00:00"/>
    <d v="2025-08-31T00:00:00"/>
    <x v="0"/>
    <n v="0"/>
    <s v=""/>
    <s v=""/>
    <n v="0"/>
  </r>
  <r>
    <x v="0"/>
    <m/>
    <m/>
    <m/>
    <m/>
    <m/>
    <n v="2"/>
    <n v="3"/>
    <n v="850"/>
    <s v="HAMPSHIRE"/>
    <s v="Resourced Provision - Ashley Infant School"/>
    <d v="2022-09-01T00:00:00"/>
    <d v="2025-08-31T00:00:00"/>
    <x v="0"/>
    <n v="0"/>
    <s v=""/>
    <s v=""/>
    <n v="0"/>
  </r>
  <r>
    <x v="0"/>
    <m/>
    <m/>
    <m/>
    <m/>
    <m/>
    <n v="1"/>
    <n v="2"/>
    <n v="850"/>
    <s v="HAMPSHIRE"/>
    <s v="Resourced Provision - Ashley Infant School"/>
    <d v="2023-09-01T00:00:00"/>
    <m/>
    <x v="0"/>
    <n v="0"/>
    <d v="2025-09-01T00:00:00"/>
    <d v="2025-12-31T00:00:00"/>
    <n v="1"/>
  </r>
  <r>
    <x v="0"/>
    <m/>
    <m/>
    <m/>
    <m/>
    <m/>
    <n v="1"/>
    <n v="2"/>
    <n v="850"/>
    <s v="HAMPSHIRE"/>
    <s v="Resourced Provision - Ashley Infant School"/>
    <d v="2023-09-01T00:00:00"/>
    <m/>
    <x v="0"/>
    <n v="0"/>
    <d v="2025-09-01T00:00:00"/>
    <d v="2025-12-31T00:00:00"/>
    <n v="1"/>
  </r>
  <r>
    <x v="0"/>
    <m/>
    <m/>
    <m/>
    <m/>
    <m/>
    <n v="1"/>
    <n v="2"/>
    <n v="850"/>
    <s v="HAMPSHIRE"/>
    <s v="Resourced Provision - Ashley Infant School"/>
    <d v="2024-09-01T00:00:00"/>
    <m/>
    <x v="0"/>
    <n v="0"/>
    <d v="2025-09-01T00:00:00"/>
    <d v="2025-12-31T00:00:00"/>
    <n v="1"/>
  </r>
  <r>
    <x v="0"/>
    <m/>
    <m/>
    <m/>
    <m/>
    <m/>
    <n v="1"/>
    <n v="2"/>
    <n v="850"/>
    <s v="HAMPSHIRE"/>
    <s v="Resourced Provision - Ashley Infant School"/>
    <d v="2023-09-01T00:00:00"/>
    <m/>
    <x v="0"/>
    <n v="0"/>
    <d v="2025-09-01T00:00:00"/>
    <d v="2025-12-31T00:00:00"/>
    <n v="1"/>
  </r>
  <r>
    <x v="0"/>
    <m/>
    <m/>
    <m/>
    <m/>
    <m/>
    <n v="1"/>
    <n v="2"/>
    <n v="850"/>
    <s v="HAMPSHIRE"/>
    <s v="Resourced Provision - Ashley Infant School"/>
    <d v="2023-09-01T00:00:00"/>
    <m/>
    <x v="0"/>
    <n v="0"/>
    <d v="2025-09-01T00:00:00"/>
    <d v="2025-12-31T00:00:00"/>
    <n v="1"/>
  </r>
  <r>
    <x v="0"/>
    <m/>
    <m/>
    <m/>
    <m/>
    <m/>
    <n v="0"/>
    <n v="1"/>
    <n v="850"/>
    <s v="HAMPSHIRE"/>
    <s v="Resourced Provision - Ashley Infant School"/>
    <d v="2024-09-01T00:00:00"/>
    <m/>
    <x v="0"/>
    <n v="0"/>
    <d v="2025-09-01T00:00:00"/>
    <d v="2025-12-31T00:00:00"/>
    <n v="1"/>
  </r>
  <r>
    <x v="0"/>
    <m/>
    <m/>
    <m/>
    <m/>
    <m/>
    <n v="0"/>
    <n v="1"/>
    <n v="850"/>
    <s v="HAMPSHIRE"/>
    <s v="Resourced Provision - Ashley Infant School"/>
    <d v="2025-09-01T00:00:00"/>
    <m/>
    <x v="0"/>
    <n v="0"/>
    <d v="2025-09-01T00:00:00"/>
    <d v="2025-12-31T00:00:00"/>
    <n v="1"/>
  </r>
  <r>
    <x v="0"/>
    <m/>
    <m/>
    <m/>
    <m/>
    <m/>
    <n v="1"/>
    <n v="2"/>
    <n v="850"/>
    <s v="HAMPSHIRE"/>
    <s v="Resourced Provision - Ashley Infant School"/>
    <d v="2023-09-01T00:00:00"/>
    <m/>
    <x v="0"/>
    <n v="0"/>
    <d v="2025-09-01T00:00:00"/>
    <d v="2025-12-31T00:00:00"/>
    <n v="1"/>
  </r>
  <r>
    <x v="0"/>
    <m/>
    <m/>
    <m/>
    <m/>
    <m/>
    <n v="0"/>
    <n v="1"/>
    <n v="850"/>
    <s v="HAMPSHIRE"/>
    <s v="Resourced Provision - Ashley Infant School"/>
    <d v="2024-09-01T00:00:00"/>
    <m/>
    <x v="0"/>
    <n v="0"/>
    <d v="2025-09-01T00:00:00"/>
    <d v="2025-12-31T00:00:00"/>
    <n v="1"/>
  </r>
  <r>
    <x v="0"/>
    <m/>
    <m/>
    <m/>
    <m/>
    <m/>
    <n v="1"/>
    <n v="2"/>
    <n v="850"/>
    <s v="HAMPSHIRE"/>
    <s v="Resourced Provision - Ashley Infant School"/>
    <d v="2023-09-01T00:00:00"/>
    <m/>
    <x v="0"/>
    <n v="0"/>
    <d v="2025-09-01T00:00:00"/>
    <d v="2025-12-31T00:00:00"/>
    <n v="1"/>
  </r>
  <r>
    <x v="0"/>
    <m/>
    <m/>
    <m/>
    <m/>
    <m/>
    <n v="0"/>
    <n v="1"/>
    <n v="850"/>
    <s v="HAMPSHIRE"/>
    <s v="Resourced Provision - Ashley Infant School"/>
    <d v="2024-09-01T00:00:00"/>
    <m/>
    <x v="0"/>
    <n v="0"/>
    <d v="2025-09-01T00:00:00"/>
    <d v="2025-12-31T00:00:00"/>
    <n v="1"/>
  </r>
  <r>
    <x v="0"/>
    <m/>
    <m/>
    <m/>
    <m/>
    <m/>
    <n v="2"/>
    <n v="3"/>
    <n v="850"/>
    <s v="HAMPSHIRE"/>
    <s v="Resourced Provision - Ashley Infant School"/>
    <d v="2022-09-01T00:00:00"/>
    <d v="2025-08-31T00:00:00"/>
    <x v="0"/>
    <n v="0"/>
    <s v=""/>
    <s v=""/>
    <n v="0"/>
  </r>
  <r>
    <x v="0"/>
    <m/>
    <m/>
    <m/>
    <m/>
    <m/>
    <n v="0"/>
    <n v="1"/>
    <n v="850"/>
    <s v="HAMPSHIRE"/>
    <s v="Resourced Provision - Ashley Infant School"/>
    <d v="2024-09-01T00:00:00"/>
    <m/>
    <x v="0"/>
    <n v="0"/>
    <d v="2025-09-01T00:00:00"/>
    <d v="2025-12-31T00:00:00"/>
    <n v="1"/>
  </r>
  <r>
    <x v="0"/>
    <m/>
    <m/>
    <m/>
    <m/>
    <m/>
    <n v="-1"/>
    <n v="0"/>
    <n v="850"/>
    <s v="HAMPSHIRE"/>
    <s v="Resourced Provision - Ashley Infant School"/>
    <d v="2025-09-01T00:00:00"/>
    <m/>
    <x v="0"/>
    <n v="0"/>
    <d v="2025-09-01T00:00:00"/>
    <d v="2025-12-31T00:00:00"/>
    <n v="1"/>
  </r>
  <r>
    <x v="0"/>
    <m/>
    <m/>
    <m/>
    <m/>
    <m/>
    <n v="0"/>
    <n v="1"/>
    <n v="850"/>
    <s v="HAMPSHIRE"/>
    <s v="Resourced Provision - Ashley Infant School"/>
    <d v="2025-09-01T00:00:00"/>
    <m/>
    <x v="0"/>
    <n v="0"/>
    <d v="2025-09-01T00:00:00"/>
    <d v="2025-12-31T00:00:00"/>
    <n v="1"/>
  </r>
  <r>
    <x v="1"/>
    <m/>
    <m/>
    <m/>
    <m/>
    <m/>
    <n v="6"/>
    <n v="7"/>
    <n v="850"/>
    <s v="HAMPSHIRE"/>
    <s v="Resourced Provision - Great Binfields Primary"/>
    <d v="2024-01-03T00:00:00"/>
    <d v="2025-08-31T00:00:00"/>
    <x v="1"/>
    <n v="0"/>
    <s v=""/>
    <s v=""/>
    <n v="0"/>
  </r>
  <r>
    <x v="2"/>
    <m/>
    <m/>
    <m/>
    <m/>
    <m/>
    <n v="4"/>
    <n v="5"/>
    <n v="850"/>
    <s v="HAMPSHIRE"/>
    <s v="Resourced Provision (SLCN) South View Junior"/>
    <d v="2023-09-01T00:00:00"/>
    <m/>
    <x v="2"/>
    <n v="0"/>
    <d v="2025-09-01T00:00:00"/>
    <d v="2025-12-31T00:00:00"/>
    <n v="1"/>
  </r>
  <r>
    <x v="2"/>
    <m/>
    <m/>
    <m/>
    <m/>
    <m/>
    <n v="6"/>
    <n v="7"/>
    <n v="850"/>
    <s v="HAMPSHIRE"/>
    <s v="Resourced Provision (SLCN) South View Junior"/>
    <d v="2021-09-01T00:00:00"/>
    <d v="2025-08-31T00:00:00"/>
    <x v="2"/>
    <n v="0"/>
    <s v=""/>
    <s v=""/>
    <n v="0"/>
  </r>
  <r>
    <x v="2"/>
    <m/>
    <m/>
    <m/>
    <m/>
    <m/>
    <n v="5"/>
    <n v="6"/>
    <n v="850"/>
    <s v="HAMPSHIRE"/>
    <s v="Resourced Provision (SLCN) South View Junior"/>
    <d v="2022-09-01T00:00:00"/>
    <m/>
    <x v="2"/>
    <n v="0"/>
    <d v="2025-09-01T00:00:00"/>
    <d v="2025-12-31T00:00:00"/>
    <n v="1"/>
  </r>
  <r>
    <x v="2"/>
    <m/>
    <m/>
    <m/>
    <m/>
    <m/>
    <n v="5"/>
    <n v="6"/>
    <n v="850"/>
    <s v="HAMPSHIRE"/>
    <s v="Resourced Provision (SLCN) South View Junior"/>
    <d v="2022-09-01T00:00:00"/>
    <m/>
    <x v="2"/>
    <n v="0"/>
    <d v="2025-09-01T00:00:00"/>
    <d v="2025-12-31T00:00:00"/>
    <n v="1"/>
  </r>
  <r>
    <x v="2"/>
    <m/>
    <m/>
    <m/>
    <m/>
    <m/>
    <n v="3"/>
    <n v="4"/>
    <n v="850"/>
    <s v="HAMPSHIRE"/>
    <s v="Resourced Provision (SLCN) South View Junior"/>
    <d v="2024-09-01T00:00:00"/>
    <m/>
    <x v="2"/>
    <n v="0"/>
    <d v="2025-09-01T00:00:00"/>
    <d v="2025-12-31T00:00:00"/>
    <n v="1"/>
  </r>
  <r>
    <x v="2"/>
    <m/>
    <m/>
    <m/>
    <m/>
    <m/>
    <n v="5"/>
    <n v="6"/>
    <n v="850"/>
    <s v="HAMPSHIRE"/>
    <s v="Resourced Provision (SLCN) South View Junior"/>
    <d v="2022-09-01T00:00:00"/>
    <m/>
    <x v="2"/>
    <n v="0"/>
    <d v="2025-09-01T00:00:00"/>
    <d v="2025-12-31T00:00:00"/>
    <n v="1"/>
  </r>
  <r>
    <x v="2"/>
    <m/>
    <m/>
    <m/>
    <m/>
    <m/>
    <n v="4"/>
    <n v="5"/>
    <n v="850"/>
    <s v="HAMPSHIRE"/>
    <s v="Resourced Provision (SLCN) South View Junior"/>
    <d v="2024-04-15T00:00:00"/>
    <m/>
    <x v="2"/>
    <n v="0"/>
    <d v="2025-09-01T00:00:00"/>
    <d v="2025-12-31T00:00:00"/>
    <n v="1"/>
  </r>
  <r>
    <x v="2"/>
    <m/>
    <m/>
    <m/>
    <m/>
    <m/>
    <n v="3"/>
    <n v="4"/>
    <n v="850"/>
    <s v="HAMPSHIRE"/>
    <s v="Resourced Provision (MLD) South View Junior"/>
    <d v="2024-09-01T00:00:00"/>
    <m/>
    <x v="3"/>
    <n v="0"/>
    <d v="2025-09-01T00:00:00"/>
    <d v="2025-12-31T00:00:00"/>
    <n v="1"/>
  </r>
  <r>
    <x v="2"/>
    <m/>
    <m/>
    <m/>
    <m/>
    <m/>
    <n v="4"/>
    <n v="5"/>
    <n v="850"/>
    <s v="HAMPSHIRE"/>
    <s v="Resourced Provision (SLCN) South View Junior"/>
    <d v="2023-09-01T00:00:00"/>
    <m/>
    <x v="2"/>
    <n v="0"/>
    <d v="2025-09-01T00:00:00"/>
    <d v="2025-12-31T00:00:00"/>
    <n v="1"/>
  </r>
  <r>
    <x v="2"/>
    <m/>
    <m/>
    <m/>
    <m/>
    <m/>
    <n v="6"/>
    <n v="7"/>
    <n v="850"/>
    <s v="HAMPSHIRE"/>
    <s v="Resourced Provision (SLCN) South View Junior"/>
    <d v="2021-09-01T00:00:00"/>
    <d v="2025-08-31T00:00:00"/>
    <x v="2"/>
    <n v="0"/>
    <s v=""/>
    <s v=""/>
    <n v="0"/>
  </r>
  <r>
    <x v="2"/>
    <m/>
    <m/>
    <m/>
    <m/>
    <m/>
    <n v="5"/>
    <n v="6"/>
    <n v="850"/>
    <s v="HAMPSHIRE"/>
    <s v="Resourced Provision (SLCN) South View Junior"/>
    <d v="2022-09-01T00:00:00"/>
    <m/>
    <x v="2"/>
    <n v="0"/>
    <d v="2025-09-01T00:00:00"/>
    <d v="2025-12-31T00:00:00"/>
    <n v="1"/>
  </r>
  <r>
    <x v="2"/>
    <m/>
    <m/>
    <m/>
    <m/>
    <m/>
    <n v="6"/>
    <n v="7"/>
    <n v="850"/>
    <s v="HAMPSHIRE"/>
    <s v="Resourced Provision (SLCN) South View Junior"/>
    <d v="2021-09-01T00:00:00"/>
    <d v="2025-08-31T00:00:00"/>
    <x v="2"/>
    <n v="0"/>
    <s v=""/>
    <s v=""/>
    <n v="0"/>
  </r>
  <r>
    <x v="2"/>
    <m/>
    <m/>
    <m/>
    <m/>
    <m/>
    <n v="4"/>
    <n v="5"/>
    <n v="850"/>
    <s v="HAMPSHIRE"/>
    <s v="Resourced Provision (SLCN) South View Junior"/>
    <d v="2023-09-01T00:00:00"/>
    <m/>
    <x v="2"/>
    <n v="0"/>
    <d v="2025-09-01T00:00:00"/>
    <d v="2025-12-31T00:00:00"/>
    <n v="1"/>
  </r>
  <r>
    <x v="2"/>
    <m/>
    <m/>
    <m/>
    <m/>
    <m/>
    <n v="5"/>
    <n v="6"/>
    <n v="850"/>
    <s v="HAMPSHIRE"/>
    <s v="Resourced Provision (SLCN) South View Junior"/>
    <d v="2022-11-01T00:00:00"/>
    <m/>
    <x v="2"/>
    <n v="0"/>
    <d v="2025-09-01T00:00:00"/>
    <d v="2025-12-31T00:00:00"/>
    <n v="1"/>
  </r>
  <r>
    <x v="2"/>
    <m/>
    <m/>
    <m/>
    <m/>
    <m/>
    <n v="5"/>
    <n v="6"/>
    <n v="850"/>
    <s v="HAMPSHIRE"/>
    <s v="Resourced Provision (SLCN) South View Junior"/>
    <d v="2022-09-01T00:00:00"/>
    <m/>
    <x v="2"/>
    <n v="0"/>
    <d v="2025-09-01T00:00:00"/>
    <d v="2025-12-31T00:00:00"/>
    <n v="1"/>
  </r>
  <r>
    <x v="2"/>
    <m/>
    <m/>
    <m/>
    <m/>
    <m/>
    <n v="4"/>
    <n v="5"/>
    <n v="850"/>
    <s v="HAMPSHIRE"/>
    <s v="Resourced Provision (SLCN) South View Junior"/>
    <d v="2023-09-01T00:00:00"/>
    <m/>
    <x v="2"/>
    <n v="0"/>
    <d v="2025-09-01T00:00:00"/>
    <d v="2025-12-31T00:00:00"/>
    <n v="1"/>
  </r>
  <r>
    <x v="2"/>
    <m/>
    <m/>
    <m/>
    <m/>
    <m/>
    <n v="6"/>
    <n v="7"/>
    <n v="850"/>
    <s v="HAMPSHIRE"/>
    <s v="Resourced Provision (MLD) South View Junior"/>
    <d v="2022-09-01T00:00:00"/>
    <d v="2025-08-31T00:00:00"/>
    <x v="3"/>
    <n v="0"/>
    <s v=""/>
    <s v=""/>
    <n v="0"/>
  </r>
  <r>
    <x v="2"/>
    <m/>
    <m/>
    <m/>
    <m/>
    <m/>
    <n v="4"/>
    <n v="5"/>
    <n v="850"/>
    <s v="HAMPSHIRE"/>
    <s v="Resourced Provision (SLCN) South View Junior"/>
    <d v="2023-09-01T00:00:00"/>
    <m/>
    <x v="2"/>
    <n v="0"/>
    <d v="2025-09-01T00:00:00"/>
    <d v="2025-12-31T00:00:00"/>
    <n v="1"/>
  </r>
  <r>
    <x v="2"/>
    <m/>
    <m/>
    <m/>
    <m/>
    <m/>
    <n v="5"/>
    <n v="6"/>
    <n v="850"/>
    <s v="HAMPSHIRE"/>
    <s v="Resourced Provision (SLCN) South View Junior"/>
    <d v="2022-09-01T00:00:00"/>
    <m/>
    <x v="2"/>
    <n v="0"/>
    <d v="2025-09-01T00:00:00"/>
    <d v="2025-12-31T00:00:00"/>
    <n v="1"/>
  </r>
  <r>
    <x v="2"/>
    <m/>
    <m/>
    <m/>
    <m/>
    <m/>
    <n v="5"/>
    <n v="6"/>
    <n v="850"/>
    <s v="HAMPSHIRE"/>
    <s v="Resourced Provision (SLCN) South View Junior"/>
    <d v="2022-09-01T00:00:00"/>
    <m/>
    <x v="2"/>
    <n v="0"/>
    <d v="2025-09-01T00:00:00"/>
    <d v="2025-12-31T00:00:00"/>
    <n v="1"/>
  </r>
  <r>
    <x v="2"/>
    <m/>
    <m/>
    <m/>
    <m/>
    <m/>
    <n v="6"/>
    <n v="7"/>
    <n v="850"/>
    <s v="HAMPSHIRE"/>
    <s v="Resourced Provision (SLCN) South View Junior"/>
    <d v="2021-09-01T00:00:00"/>
    <d v="2025-08-31T00:00:00"/>
    <x v="2"/>
    <n v="0"/>
    <s v=""/>
    <s v=""/>
    <n v="0"/>
  </r>
  <r>
    <x v="2"/>
    <m/>
    <m/>
    <m/>
    <m/>
    <m/>
    <n v="5"/>
    <n v="6"/>
    <n v="850"/>
    <s v="HAMPSHIRE"/>
    <s v="Resourced Provision (MLD) South View Junior"/>
    <d v="2022-09-01T00:00:00"/>
    <m/>
    <x v="3"/>
    <n v="0"/>
    <d v="2025-09-01T00:00:00"/>
    <d v="2025-12-31T00:00:00"/>
    <n v="1"/>
  </r>
  <r>
    <x v="2"/>
    <m/>
    <m/>
    <m/>
    <m/>
    <m/>
    <n v="3"/>
    <n v="4"/>
    <n v="850"/>
    <s v="HAMPSHIRE"/>
    <s v="Resourced Provision (SLCN) South View Junior"/>
    <d v="2024-09-01T00:00:00"/>
    <m/>
    <x v="2"/>
    <n v="0"/>
    <d v="2025-09-01T00:00:00"/>
    <d v="2025-12-31T00:00:00"/>
    <n v="1"/>
  </r>
  <r>
    <x v="2"/>
    <m/>
    <m/>
    <m/>
    <m/>
    <m/>
    <n v="6"/>
    <n v="7"/>
    <n v="850"/>
    <s v="HAMPSHIRE"/>
    <s v="Resourced Provision (SLCN) South View Junior"/>
    <d v="2021-09-01T00:00:00"/>
    <d v="2025-08-31T00:00:00"/>
    <x v="2"/>
    <n v="0"/>
    <s v=""/>
    <s v=""/>
    <n v="0"/>
  </r>
  <r>
    <x v="2"/>
    <m/>
    <m/>
    <m/>
    <m/>
    <m/>
    <n v="3"/>
    <n v="4"/>
    <n v="850"/>
    <s v="HAMPSHIRE"/>
    <s v="Resourced Provision (SLCN) South View Junior"/>
    <d v="2024-09-01T00:00:00"/>
    <m/>
    <x v="2"/>
    <n v="0"/>
    <d v="2025-09-01T00:00:00"/>
    <d v="2025-12-31T00:00:00"/>
    <n v="1"/>
  </r>
  <r>
    <x v="2"/>
    <m/>
    <m/>
    <m/>
    <m/>
    <m/>
    <n v="4"/>
    <n v="5"/>
    <n v="850"/>
    <s v="HAMPSHIRE"/>
    <s v="Resourced Provision (SLCN) South View Junior"/>
    <d v="2023-09-01T00:00:00"/>
    <m/>
    <x v="2"/>
    <n v="0"/>
    <d v="2025-09-01T00:00:00"/>
    <d v="2025-12-31T00:00:00"/>
    <n v="1"/>
  </r>
  <r>
    <x v="2"/>
    <m/>
    <m/>
    <m/>
    <m/>
    <m/>
    <n v="3"/>
    <n v="4"/>
    <n v="850"/>
    <s v="HAMPSHIRE"/>
    <s v="Resourced Provision (MLD) South View Junior"/>
    <d v="2024-09-01T00:00:00"/>
    <m/>
    <x v="3"/>
    <n v="0"/>
    <d v="2025-09-01T00:00:00"/>
    <d v="2025-12-31T00:00:00"/>
    <n v="1"/>
  </r>
  <r>
    <x v="2"/>
    <m/>
    <m/>
    <m/>
    <m/>
    <m/>
    <n v="3"/>
    <n v="4"/>
    <n v="850"/>
    <s v="HAMPSHIRE"/>
    <s v="Resourced Provision (SLCN) South View Junior"/>
    <d v="2024-09-01T00:00:00"/>
    <m/>
    <x v="2"/>
    <n v="0"/>
    <d v="2025-09-01T00:00:00"/>
    <d v="2025-12-31T00:00:00"/>
    <n v="1"/>
  </r>
  <r>
    <x v="2"/>
    <m/>
    <m/>
    <m/>
    <m/>
    <m/>
    <n v="3"/>
    <n v="4"/>
    <n v="850"/>
    <s v="HAMPSHIRE"/>
    <s v="Resourced Provision (SLCN) South View Junior"/>
    <d v="2024-09-01T00:00:00"/>
    <m/>
    <x v="2"/>
    <n v="0"/>
    <d v="2025-09-01T00:00:00"/>
    <d v="2025-12-31T00:00:00"/>
    <n v="1"/>
  </r>
  <r>
    <x v="3"/>
    <m/>
    <m/>
    <m/>
    <m/>
    <m/>
    <n v="5"/>
    <n v="6"/>
    <n v="850"/>
    <s v="HAMPSHIRE"/>
    <s v="Resourced Provision - Stoke Park Junior School"/>
    <d v="2022-09-01T00:00:00"/>
    <m/>
    <x v="2"/>
    <n v="0"/>
    <d v="2025-09-01T00:00:00"/>
    <d v="2025-12-31T00:00:00"/>
    <n v="1"/>
  </r>
  <r>
    <x v="3"/>
    <m/>
    <m/>
    <m/>
    <m/>
    <m/>
    <n v="4"/>
    <n v="5"/>
    <n v="850"/>
    <s v="HAMPSHIRE"/>
    <s v="Resourced Provision - Stoke Park Junior School"/>
    <d v="2023-09-01T00:00:00"/>
    <m/>
    <x v="2"/>
    <n v="0"/>
    <d v="2025-09-01T00:00:00"/>
    <d v="2025-12-31T00:00:00"/>
    <n v="1"/>
  </r>
  <r>
    <x v="3"/>
    <m/>
    <m/>
    <m/>
    <m/>
    <m/>
    <n v="3"/>
    <n v="4"/>
    <n v="850"/>
    <s v="HAMPSHIRE"/>
    <s v="Resourced Provision - Stoke Park Junior School"/>
    <d v="2024-09-01T00:00:00"/>
    <m/>
    <x v="2"/>
    <n v="0"/>
    <d v="2025-09-01T00:00:00"/>
    <d v="2025-12-31T00:00:00"/>
    <n v="1"/>
  </r>
  <r>
    <x v="3"/>
    <m/>
    <m/>
    <m/>
    <m/>
    <m/>
    <n v="2"/>
    <n v="3"/>
    <n v="850"/>
    <s v="HAMPSHIRE"/>
    <s v="Resourced Provision - Stoke Park Infant School"/>
    <d v="2025-09-01T00:00:00"/>
    <m/>
    <x v="2"/>
    <n v="0"/>
    <d v="2025-09-01T00:00:00"/>
    <d v="2025-12-31T00:00:00"/>
    <n v="1"/>
  </r>
  <r>
    <x v="3"/>
    <m/>
    <m/>
    <m/>
    <m/>
    <m/>
    <n v="1"/>
    <n v="2"/>
    <n v="850"/>
    <s v="HAMPSHIRE"/>
    <s v="Resourced Provision - Stoke Park Infant School"/>
    <d v="2023-09-01T00:00:00"/>
    <m/>
    <x v="2"/>
    <n v="0"/>
    <d v="2025-09-01T00:00:00"/>
    <d v="2025-12-31T00:00:00"/>
    <n v="1"/>
  </r>
  <r>
    <x v="3"/>
    <m/>
    <m/>
    <m/>
    <m/>
    <m/>
    <n v="4"/>
    <n v="5"/>
    <n v="850"/>
    <s v="HAMPSHIRE"/>
    <s v="Resourced Provision - Stoke Park Junior School"/>
    <d v="2023-09-01T00:00:00"/>
    <m/>
    <x v="2"/>
    <n v="0"/>
    <d v="2025-09-01T00:00:00"/>
    <d v="2025-12-31T00:00:00"/>
    <n v="1"/>
  </r>
  <r>
    <x v="3"/>
    <m/>
    <m/>
    <m/>
    <m/>
    <m/>
    <n v="3"/>
    <n v="4"/>
    <n v="850"/>
    <s v="HAMPSHIRE"/>
    <s v="Resourced Provision - Stoke Park Infant School"/>
    <d v="2021-09-01T00:00:00"/>
    <m/>
    <x v="2"/>
    <n v="0"/>
    <d v="2025-09-01T00:00:00"/>
    <d v="2025-12-31T00:00:00"/>
    <n v="1"/>
  </r>
  <r>
    <x v="3"/>
    <m/>
    <m/>
    <m/>
    <m/>
    <m/>
    <n v="5"/>
    <n v="6"/>
    <n v="850"/>
    <s v="HAMPSHIRE"/>
    <s v="Resourced Provision - Stoke Park Junior School"/>
    <d v="2022-09-01T00:00:00"/>
    <m/>
    <x v="2"/>
    <n v="0"/>
    <d v="2025-09-01T00:00:00"/>
    <d v="2025-12-31T00:00:00"/>
    <n v="1"/>
  </r>
  <r>
    <x v="3"/>
    <m/>
    <m/>
    <m/>
    <m/>
    <m/>
    <n v="-1"/>
    <n v="0"/>
    <n v="850"/>
    <s v="HAMPSHIRE"/>
    <s v="Resourced Provision - Stoke Park Infant School"/>
    <d v="2025-09-01T00:00:00"/>
    <m/>
    <x v="2"/>
    <n v="0"/>
    <d v="2025-09-01T00:00:00"/>
    <d v="2025-12-31T00:00:00"/>
    <n v="1"/>
  </r>
  <r>
    <x v="3"/>
    <m/>
    <m/>
    <m/>
    <m/>
    <m/>
    <n v="2"/>
    <n v="3"/>
    <n v="850"/>
    <s v="HAMPSHIRE"/>
    <s v="Resourced Provision - Stoke Park Infant School"/>
    <d v="2024-09-01T00:00:00"/>
    <d v="2025-08-31T00:00:00"/>
    <x v="2"/>
    <n v="0"/>
    <s v=""/>
    <s v=""/>
    <n v="0"/>
  </r>
  <r>
    <x v="3"/>
    <m/>
    <m/>
    <m/>
    <m/>
    <m/>
    <n v="2"/>
    <n v="3"/>
    <n v="850"/>
    <s v="HAMPSHIRE"/>
    <s v="Resourced Provision - Stoke Park Junior School"/>
    <d v="2025-09-01T00:00:00"/>
    <m/>
    <x v="2"/>
    <n v="0"/>
    <d v="2025-09-01T00:00:00"/>
    <d v="2025-12-31T00:00:00"/>
    <n v="1"/>
  </r>
  <r>
    <x v="3"/>
    <m/>
    <m/>
    <m/>
    <m/>
    <m/>
    <n v="5"/>
    <n v="6"/>
    <n v="850"/>
    <s v="HAMPSHIRE"/>
    <s v="Resourced Provision - Stoke Park Junior School"/>
    <d v="2022-09-01T00:00:00"/>
    <m/>
    <x v="2"/>
    <n v="0"/>
    <d v="2025-09-01T00:00:00"/>
    <d v="2025-12-31T00:00:00"/>
    <n v="1"/>
  </r>
  <r>
    <x v="3"/>
    <m/>
    <m/>
    <m/>
    <m/>
    <m/>
    <n v="4"/>
    <n v="5"/>
    <n v="850"/>
    <s v="HAMPSHIRE"/>
    <s v="Resourced Provision - Stoke Park Junior School"/>
    <d v="2025-09-01T00:00:00"/>
    <m/>
    <x v="2"/>
    <n v="0"/>
    <d v="2025-09-01T00:00:00"/>
    <d v="2025-12-31T00:00:00"/>
    <n v="1"/>
  </r>
  <r>
    <x v="3"/>
    <m/>
    <m/>
    <m/>
    <m/>
    <m/>
    <n v="1"/>
    <n v="2"/>
    <n v="850"/>
    <s v="HAMPSHIRE"/>
    <s v="Resourced Provision - Stoke Park Infant School"/>
    <d v="2023-09-01T00:00:00"/>
    <m/>
    <x v="2"/>
    <n v="0"/>
    <d v="2025-09-01T00:00:00"/>
    <d v="2025-12-31T00:00:00"/>
    <n v="1"/>
  </r>
  <r>
    <x v="3"/>
    <m/>
    <m/>
    <m/>
    <m/>
    <m/>
    <n v="-1"/>
    <n v="0"/>
    <n v="850"/>
    <s v="HAMPSHIRE"/>
    <s v="Resourced Provision - Stoke Park Infant School"/>
    <d v="2025-09-01T00:00:00"/>
    <m/>
    <x v="2"/>
    <n v="0"/>
    <d v="2025-09-01T00:00:00"/>
    <d v="2025-12-31T00:00:00"/>
    <n v="1"/>
  </r>
  <r>
    <x v="3"/>
    <m/>
    <m/>
    <m/>
    <m/>
    <m/>
    <n v="2"/>
    <n v="3"/>
    <n v="850"/>
    <s v="HAMPSHIRE"/>
    <s v="Resourced Provision - Stoke Park Infant School"/>
    <d v="2022-09-01T00:00:00"/>
    <d v="2025-08-31T00:00:00"/>
    <x v="2"/>
    <n v="0"/>
    <s v=""/>
    <s v=""/>
    <n v="0"/>
  </r>
  <r>
    <x v="4"/>
    <m/>
    <m/>
    <m/>
    <m/>
    <m/>
    <n v="3"/>
    <n v="4"/>
    <n v="850"/>
    <s v="HAMPSHIRE"/>
    <s v="Resourced Provision - Velmead Junior School"/>
    <d v="2025-09-01T00:00:00"/>
    <m/>
    <x v="4"/>
    <n v="0"/>
    <d v="2025-09-01T00:00:00"/>
    <d v="2025-12-31T00:00:00"/>
    <n v="1"/>
  </r>
  <r>
    <x v="4"/>
    <m/>
    <m/>
    <m/>
    <m/>
    <m/>
    <n v="2"/>
    <n v="3"/>
    <n v="850"/>
    <s v="HAMPSHIRE"/>
    <s v="Resourced Provision - Velmead Junior School"/>
    <d v="2025-09-01T00:00:00"/>
    <m/>
    <x v="4"/>
    <n v="0"/>
    <d v="2025-09-01T00:00:00"/>
    <d v="2025-12-31T00:00:00"/>
    <n v="1"/>
  </r>
  <r>
    <x v="5"/>
    <m/>
    <m/>
    <m/>
    <m/>
    <m/>
    <n v="4"/>
    <n v="5"/>
    <n v="850"/>
    <s v="HAMPSHIRE"/>
    <s v="Resourced Provision - Sun Hill Junior School"/>
    <d v="2025-07-16T00:00:00"/>
    <m/>
    <x v="5"/>
    <n v="0"/>
    <d v="2025-09-01T00:00:00"/>
    <d v="2025-12-31T00:00:00"/>
    <n v="1"/>
  </r>
  <r>
    <x v="5"/>
    <m/>
    <m/>
    <m/>
    <m/>
    <m/>
    <n v="4"/>
    <n v="5"/>
    <n v="850"/>
    <s v="HAMPSHIRE"/>
    <s v="Resourced Provision - Sun Hill Junior School"/>
    <d v="2025-06-02T00:00:00"/>
    <m/>
    <x v="5"/>
    <n v="0"/>
    <d v="2025-09-01T00:00:00"/>
    <d v="2025-12-31T00:00:00"/>
    <n v="1"/>
  </r>
  <r>
    <x v="5"/>
    <m/>
    <m/>
    <m/>
    <m/>
    <m/>
    <n v="3"/>
    <n v="4"/>
    <n v="850"/>
    <s v="HAMPSHIRE"/>
    <s v="Resourced Provision - Sun Hill Junior School"/>
    <d v="2025-06-02T00:00:00"/>
    <m/>
    <x v="5"/>
    <n v="0"/>
    <d v="2025-09-01T00:00:00"/>
    <d v="2025-12-31T00:00:00"/>
    <n v="1"/>
  </r>
  <r>
    <x v="5"/>
    <m/>
    <m/>
    <m/>
    <m/>
    <m/>
    <n v="2"/>
    <n v="3"/>
    <n v="850"/>
    <s v="HAMPSHIRE"/>
    <s v="Resourced Provision - Sun Hill Junior School"/>
    <d v="2025-09-01T00:00:00"/>
    <m/>
    <x v="5"/>
    <n v="0"/>
    <d v="2025-09-01T00:00:00"/>
    <d v="2025-12-31T00:00:00"/>
    <n v="1"/>
  </r>
  <r>
    <x v="6"/>
    <m/>
    <m/>
    <m/>
    <m/>
    <m/>
    <n v="3"/>
    <n v="4"/>
    <n v="850"/>
    <s v="HAMPSHIRE"/>
    <s v="Resourced Provision (SEMH) - Wildground Junior"/>
    <d v="2024-09-01T00:00:00"/>
    <m/>
    <x v="5"/>
    <n v="0"/>
    <d v="2025-09-01T00:00:00"/>
    <d v="2025-12-31T00:00:00"/>
    <n v="1"/>
  </r>
  <r>
    <x v="6"/>
    <m/>
    <m/>
    <m/>
    <m/>
    <m/>
    <n v="5"/>
    <n v="6"/>
    <n v="850"/>
    <s v="HAMPSHIRE"/>
    <s v="Resourced Provision (SEMH) - Wildground Junior"/>
    <d v="2022-09-13T00:00:00"/>
    <m/>
    <x v="5"/>
    <n v="0"/>
    <d v="2025-09-01T00:00:00"/>
    <d v="2025-12-31T00:00:00"/>
    <n v="1"/>
  </r>
  <r>
    <x v="6"/>
    <m/>
    <m/>
    <m/>
    <m/>
    <m/>
    <n v="6"/>
    <n v="7"/>
    <n v="850"/>
    <s v="HAMPSHIRE"/>
    <s v="Resourced Provision (SEMH) - Wildground Junior"/>
    <d v="2021-09-13T00:00:00"/>
    <d v="2025-08-31T00:00:00"/>
    <x v="5"/>
    <n v="0"/>
    <s v=""/>
    <s v=""/>
    <n v="0"/>
  </r>
  <r>
    <x v="6"/>
    <m/>
    <m/>
    <m/>
    <m/>
    <m/>
    <n v="1"/>
    <n v="2"/>
    <n v="850"/>
    <s v="HAMPSHIRE"/>
    <s v="Resourced Provision (ASC) – Wildground Junior"/>
    <d v="2025-09-01T00:00:00"/>
    <m/>
    <x v="4"/>
    <n v="0"/>
    <d v="2025-09-01T00:00:00"/>
    <d v="2025-12-31T00:00:00"/>
    <n v="1"/>
  </r>
  <r>
    <x v="6"/>
    <m/>
    <m/>
    <m/>
    <m/>
    <m/>
    <n v="3"/>
    <n v="4"/>
    <n v="850"/>
    <s v="HAMPSHIRE"/>
    <s v="Resourced Provision (SEMH) - Wildground Junior"/>
    <d v="2024-09-01T00:00:00"/>
    <m/>
    <x v="5"/>
    <n v="0"/>
    <d v="2025-09-01T00:00:00"/>
    <d v="2025-12-31T00:00:00"/>
    <n v="1"/>
  </r>
  <r>
    <x v="6"/>
    <m/>
    <m/>
    <m/>
    <m/>
    <m/>
    <n v="3"/>
    <n v="4"/>
    <n v="850"/>
    <s v="HAMPSHIRE"/>
    <s v="Resourced Provision (ASC) – Wildground Junior"/>
    <d v="2024-09-01T00:00:00"/>
    <m/>
    <x v="4"/>
    <n v="0"/>
    <d v="2025-09-01T00:00:00"/>
    <d v="2025-12-31T00:00:00"/>
    <n v="1"/>
  </r>
  <r>
    <x v="6"/>
    <m/>
    <m/>
    <m/>
    <m/>
    <m/>
    <n v="5"/>
    <n v="6"/>
    <n v="850"/>
    <s v="HAMPSHIRE"/>
    <s v="Resourced Provision (ASC) – Wildground Junior"/>
    <d v="2022-09-01T00:00:00"/>
    <m/>
    <x v="4"/>
    <n v="0"/>
    <d v="2025-09-01T00:00:00"/>
    <d v="2025-12-31T00:00:00"/>
    <n v="1"/>
  </r>
  <r>
    <x v="6"/>
    <m/>
    <m/>
    <m/>
    <m/>
    <m/>
    <n v="1"/>
    <n v="2"/>
    <n v="850"/>
    <s v="HAMPSHIRE"/>
    <s v="Resourced Provision (ASC) – Wildground Infant"/>
    <d v="2025-09-01T00:00:00"/>
    <m/>
    <x v="4"/>
    <n v="0"/>
    <d v="2025-09-01T00:00:00"/>
    <d v="2025-12-31T00:00:00"/>
    <n v="1"/>
  </r>
  <r>
    <x v="6"/>
    <m/>
    <m/>
    <m/>
    <m/>
    <m/>
    <n v="1"/>
    <n v="2"/>
    <n v="850"/>
    <s v="HAMPSHIRE"/>
    <s v="Resourced Provision (SEMH) - Wildground Infant"/>
    <d v="2025-09-01T00:00:00"/>
    <m/>
    <x v="5"/>
    <n v="0"/>
    <d v="2025-09-01T00:00:00"/>
    <d v="2025-12-31T00:00:00"/>
    <n v="1"/>
  </r>
  <r>
    <x v="6"/>
    <m/>
    <m/>
    <m/>
    <m/>
    <m/>
    <n v="4"/>
    <n v="5"/>
    <n v="850"/>
    <s v="HAMPSHIRE"/>
    <s v="Resourced Provision (ASC) – Wildground Infant"/>
    <d v="2023-09-01T00:00:00"/>
    <m/>
    <x v="4"/>
    <n v="0"/>
    <d v="2025-09-01T00:00:00"/>
    <d v="2025-12-31T00:00:00"/>
    <n v="1"/>
  </r>
  <r>
    <x v="6"/>
    <m/>
    <m/>
    <m/>
    <m/>
    <m/>
    <n v="1"/>
    <n v="2"/>
    <n v="850"/>
    <s v="HAMPSHIRE"/>
    <s v="Resourced Provision (ASC) – Wildground Infant"/>
    <d v="2025-09-01T00:00:00"/>
    <m/>
    <x v="4"/>
    <n v="0"/>
    <d v="2025-09-01T00:00:00"/>
    <d v="2025-12-31T00:00:00"/>
    <n v="1"/>
  </r>
  <r>
    <x v="6"/>
    <m/>
    <m/>
    <m/>
    <m/>
    <m/>
    <n v="4"/>
    <n v="5"/>
    <n v="850"/>
    <s v="HAMPSHIRE"/>
    <s v="Resourced Provision (ASC) – Wildground Infant"/>
    <d v="2023-09-01T00:00:00"/>
    <m/>
    <x v="4"/>
    <n v="0"/>
    <d v="2025-09-01T00:00:00"/>
    <d v="2025-12-31T00:00:00"/>
    <n v="1"/>
  </r>
  <r>
    <x v="6"/>
    <m/>
    <m/>
    <m/>
    <m/>
    <m/>
    <n v="2"/>
    <n v="3"/>
    <n v="850"/>
    <s v="HAMPSHIRE"/>
    <s v="Resourced Provision (ASC) – Wildground Junior"/>
    <d v="2025-09-01T00:00:00"/>
    <m/>
    <x v="4"/>
    <n v="0"/>
    <d v="2025-09-01T00:00:00"/>
    <d v="2025-12-31T00:00:00"/>
    <n v="1"/>
  </r>
  <r>
    <x v="6"/>
    <m/>
    <m/>
    <m/>
    <m/>
    <m/>
    <n v="3"/>
    <n v="4"/>
    <n v="850"/>
    <s v="HAMPSHIRE"/>
    <s v="Resourced Provision (ASC) – Wildground Junior"/>
    <d v="2025-09-01T00:00:00"/>
    <m/>
    <x v="4"/>
    <n v="0"/>
    <d v="2025-09-01T00:00:00"/>
    <d v="2025-12-31T00:00:00"/>
    <n v="1"/>
  </r>
  <r>
    <x v="6"/>
    <m/>
    <m/>
    <m/>
    <m/>
    <m/>
    <n v="5"/>
    <n v="6"/>
    <n v="850"/>
    <s v="HAMPSHIRE"/>
    <s v="Resourced Provision (ASC) – Wildground Junior"/>
    <d v="2022-09-01T00:00:00"/>
    <m/>
    <x v="4"/>
    <n v="0"/>
    <d v="2025-09-01T00:00:00"/>
    <d v="2025-12-31T00:00:00"/>
    <n v="1"/>
  </r>
  <r>
    <x v="6"/>
    <m/>
    <m/>
    <m/>
    <m/>
    <m/>
    <n v="3"/>
    <n v="4"/>
    <n v="850"/>
    <s v="HAMPSHIRE"/>
    <s v="Resourced Provision (SEMH) - Wildground Junior"/>
    <d v="2024-09-01T00:00:00"/>
    <m/>
    <x v="5"/>
    <n v="0"/>
    <d v="2025-09-01T00:00:00"/>
    <d v="2025-12-31T00:00:00"/>
    <n v="1"/>
  </r>
  <r>
    <x v="6"/>
    <m/>
    <m/>
    <m/>
    <m/>
    <m/>
    <n v="5"/>
    <n v="6"/>
    <n v="850"/>
    <s v="HAMPSHIRE"/>
    <s v="Resourced Provision (ASC) – Wildground Junior"/>
    <d v="2022-09-01T00:00:00"/>
    <m/>
    <x v="4"/>
    <n v="0"/>
    <d v="2025-09-01T00:00:00"/>
    <d v="2025-12-31T00:00:00"/>
    <n v="1"/>
  </r>
  <r>
    <x v="6"/>
    <m/>
    <m/>
    <m/>
    <m/>
    <m/>
    <n v="1"/>
    <n v="2"/>
    <n v="850"/>
    <s v="HAMPSHIRE"/>
    <s v="Resourced Provision (SEMH) - Wildground Infant"/>
    <d v="2025-09-01T00:00:00"/>
    <m/>
    <x v="5"/>
    <n v="0"/>
    <d v="2025-09-01T00:00:00"/>
    <d v="2025-12-31T00:00:00"/>
    <n v="1"/>
  </r>
  <r>
    <x v="6"/>
    <m/>
    <m/>
    <m/>
    <m/>
    <m/>
    <n v="3"/>
    <n v="4"/>
    <n v="850"/>
    <s v="HAMPSHIRE"/>
    <s v="Resourced Provision (SEMH) - Wildground Infant"/>
    <d v="2023-09-01T00:00:00"/>
    <m/>
    <x v="5"/>
    <n v="0"/>
    <d v="2025-09-01T00:00:00"/>
    <d v="2025-12-31T00:00:00"/>
    <n v="1"/>
  </r>
  <r>
    <x v="6"/>
    <m/>
    <m/>
    <m/>
    <m/>
    <m/>
    <n v="3"/>
    <n v="4"/>
    <n v="850"/>
    <s v="HAMPSHIRE"/>
    <s v="Resourced Provision (ASC) – Wildground Junior"/>
    <d v="2024-09-01T00:00:00"/>
    <m/>
    <x v="4"/>
    <n v="0"/>
    <d v="2025-09-01T00:00:00"/>
    <d v="2025-12-31T00:00:00"/>
    <n v="1"/>
  </r>
  <r>
    <x v="6"/>
    <m/>
    <m/>
    <m/>
    <m/>
    <m/>
    <n v="6"/>
    <n v="7"/>
    <n v="850"/>
    <s v="HAMPSHIRE"/>
    <s v="Resourced Provision (SEMH) - Wildground Junior"/>
    <d v="2021-09-01T00:00:00"/>
    <d v="2025-08-31T00:00:00"/>
    <x v="5"/>
    <n v="0"/>
    <s v=""/>
    <s v=""/>
    <n v="0"/>
  </r>
  <r>
    <x v="6"/>
    <m/>
    <m/>
    <m/>
    <m/>
    <m/>
    <n v="0"/>
    <n v="1"/>
    <n v="850"/>
    <s v="HAMPSHIRE"/>
    <s v="Resourced Provision (ASC) – Wildground Infant"/>
    <d v="2025-06-04T00:00:00"/>
    <m/>
    <x v="4"/>
    <n v="0"/>
    <d v="2025-09-01T00:00:00"/>
    <d v="2025-12-31T00:00:00"/>
    <n v="1"/>
  </r>
  <r>
    <x v="6"/>
    <m/>
    <m/>
    <m/>
    <m/>
    <m/>
    <n v="1"/>
    <n v="2"/>
    <n v="850"/>
    <s v="HAMPSHIRE"/>
    <s v="Resourced Provision (ASC) – Wildground Infant"/>
    <d v="2024-09-01T00:00:00"/>
    <m/>
    <x v="4"/>
    <n v="0"/>
    <d v="2025-09-01T00:00:00"/>
    <d v="2025-12-31T00:00:00"/>
    <n v="1"/>
  </r>
  <r>
    <x v="6"/>
    <m/>
    <m/>
    <m/>
    <m/>
    <m/>
    <n v="2"/>
    <n v="3"/>
    <n v="850"/>
    <s v="HAMPSHIRE"/>
    <s v="Resourced Provision (SEMH) - Wildground Infant"/>
    <d v="2024-09-01T00:00:00"/>
    <m/>
    <x v="5"/>
    <n v="0"/>
    <d v="2025-09-01T00:00:00"/>
    <d v="2025-12-31T00:00:00"/>
    <n v="1"/>
  </r>
  <r>
    <x v="6"/>
    <m/>
    <m/>
    <m/>
    <m/>
    <m/>
    <n v="-1"/>
    <n v="0"/>
    <n v="850"/>
    <s v="HAMPSHIRE"/>
    <s v="Resourced Provision (ASC) – Wildground Infant"/>
    <d v="2025-09-01T00:00:00"/>
    <d v="2026-08-31T00:00:00"/>
    <x v="4"/>
    <n v="0"/>
    <d v="2025-09-01T00:00:00"/>
    <d v="2025-12-31T00:00:00"/>
    <n v="1"/>
  </r>
  <r>
    <x v="6"/>
    <m/>
    <m/>
    <m/>
    <m/>
    <m/>
    <n v="4"/>
    <n v="5"/>
    <n v="850"/>
    <s v="HAMPSHIRE"/>
    <s v="Resourced Provision (SEMH) - Wildground Infant"/>
    <d v="2023-09-01T00:00:00"/>
    <m/>
    <x v="5"/>
    <n v="0"/>
    <d v="2025-09-01T00:00:00"/>
    <d v="2025-12-31T00:00:00"/>
    <n v="1"/>
  </r>
  <r>
    <x v="6"/>
    <m/>
    <m/>
    <m/>
    <m/>
    <m/>
    <n v="3"/>
    <n v="4"/>
    <n v="850"/>
    <s v="HAMPSHIRE"/>
    <s v="Resourced Provision (ASC) – Wildground Junior"/>
    <d v="2024-09-01T00:00:00"/>
    <m/>
    <x v="4"/>
    <n v="0"/>
    <d v="2025-09-01T00:00:00"/>
    <d v="2025-12-31T00:00:00"/>
    <n v="1"/>
  </r>
  <r>
    <x v="6"/>
    <m/>
    <m/>
    <m/>
    <m/>
    <m/>
    <n v="5"/>
    <n v="6"/>
    <n v="850"/>
    <s v="HAMPSHIRE"/>
    <s v="Resourced Provision (ASC) – Wildground Junior"/>
    <d v="2022-09-01T00:00:00"/>
    <m/>
    <x v="4"/>
    <n v="0"/>
    <d v="2025-09-01T00:00:00"/>
    <d v="2025-12-31T00:00:00"/>
    <n v="1"/>
  </r>
  <r>
    <x v="6"/>
    <m/>
    <m/>
    <m/>
    <m/>
    <m/>
    <n v="1"/>
    <n v="2"/>
    <n v="850"/>
    <s v="HAMPSHIRE"/>
    <s v="Resourced Provision (ASC) – Wildground Infant"/>
    <d v="2024-09-01T00:00:00"/>
    <m/>
    <x v="4"/>
    <n v="0"/>
    <d v="2025-09-01T00:00:00"/>
    <d v="2025-12-31T00:00:00"/>
    <n v="1"/>
  </r>
  <r>
    <x v="7"/>
    <m/>
    <m/>
    <m/>
    <m/>
    <m/>
    <n v="6"/>
    <n v="7"/>
    <n v="850"/>
    <s v="HAMPSHIRE"/>
    <s v="Resourced Provision - Cherbourg Primary School"/>
    <d v="2021-09-01T00:00:00"/>
    <d v="2025-08-31T00:00:00"/>
    <x v="5"/>
    <n v="0"/>
    <s v=""/>
    <s v=""/>
    <n v="0"/>
  </r>
  <r>
    <x v="7"/>
    <m/>
    <m/>
    <m/>
    <m/>
    <m/>
    <n v="3"/>
    <n v="4"/>
    <n v="850"/>
    <s v="HAMPSHIRE"/>
    <s v="Resourced Provision - Cherbourg Primary School"/>
    <d v="2023-09-01T00:00:00"/>
    <m/>
    <x v="5"/>
    <n v="0"/>
    <d v="2025-09-01T00:00:00"/>
    <d v="2025-12-31T00:00:00"/>
    <n v="1"/>
  </r>
  <r>
    <x v="7"/>
    <m/>
    <m/>
    <m/>
    <m/>
    <m/>
    <n v="2"/>
    <n v="3"/>
    <n v="850"/>
    <s v="HAMPSHIRE"/>
    <s v="Resourced Provision - Cherbourg Primary School"/>
    <d v="2024-09-01T00:00:00"/>
    <m/>
    <x v="5"/>
    <n v="0"/>
    <d v="2025-09-01T00:00:00"/>
    <d v="2025-12-31T00:00:00"/>
    <n v="1"/>
  </r>
  <r>
    <x v="7"/>
    <m/>
    <m/>
    <m/>
    <m/>
    <m/>
    <n v="4"/>
    <n v="5"/>
    <n v="850"/>
    <s v="HAMPSHIRE"/>
    <s v="Resourced Provision - Cherbourg Primary School"/>
    <d v="2025-01-30T00:00:00"/>
    <m/>
    <x v="5"/>
    <n v="0"/>
    <d v="2025-09-01T00:00:00"/>
    <d v="2025-12-31T00:00:00"/>
    <n v="1"/>
  </r>
  <r>
    <x v="7"/>
    <m/>
    <m/>
    <m/>
    <m/>
    <m/>
    <n v="3"/>
    <n v="4"/>
    <n v="850"/>
    <s v="HAMPSHIRE"/>
    <s v="Resourced Provision - Cherbourg Primary School"/>
    <d v="2024-10-03T00:00:00"/>
    <m/>
    <x v="5"/>
    <n v="0"/>
    <d v="2025-09-01T00:00:00"/>
    <d v="2025-12-31T00:00:00"/>
    <n v="1"/>
  </r>
  <r>
    <x v="7"/>
    <m/>
    <m/>
    <m/>
    <m/>
    <m/>
    <n v="5"/>
    <n v="6"/>
    <n v="850"/>
    <s v="HAMPSHIRE"/>
    <s v="Resourced Provision - Cherbourg Primary School"/>
    <d v="2023-09-01T00:00:00"/>
    <d v="2025-10-02T00:00:00"/>
    <x v="5"/>
    <n v="0"/>
    <d v="2025-09-01T00:00:00"/>
    <d v="2025-10-02T00:00:00"/>
    <n v="0.26"/>
  </r>
  <r>
    <x v="7"/>
    <m/>
    <m/>
    <m/>
    <m/>
    <m/>
    <n v="3"/>
    <n v="4"/>
    <n v="850"/>
    <s v="HAMPSHIRE"/>
    <s v="Resourced Provision - Cherbourg Primary School"/>
    <d v="2024-09-01T00:00:00"/>
    <m/>
    <x v="5"/>
    <n v="0"/>
    <d v="2025-09-01T00:00:00"/>
    <d v="2025-12-31T00:00:00"/>
    <n v="1"/>
  </r>
  <r>
    <x v="7"/>
    <m/>
    <m/>
    <m/>
    <m/>
    <m/>
    <n v="6"/>
    <n v="7"/>
    <n v="850"/>
    <s v="HAMPSHIRE"/>
    <s v="Resourced Provision - Cherbourg Primary School"/>
    <d v="2021-09-01T00:00:00"/>
    <d v="2025-08-31T00:00:00"/>
    <x v="5"/>
    <n v="0"/>
    <s v=""/>
    <s v=""/>
    <n v="0"/>
  </r>
  <r>
    <x v="7"/>
    <m/>
    <m/>
    <m/>
    <m/>
    <m/>
    <n v="4"/>
    <n v="5"/>
    <n v="850"/>
    <s v="HAMPSHIRE"/>
    <s v="Resourced Provision - Cherbourg Primary School"/>
    <d v="2024-09-01T00:00:00"/>
    <m/>
    <x v="5"/>
    <n v="0"/>
    <d v="2025-09-01T00:00:00"/>
    <d v="2025-12-31T00:00:00"/>
    <n v="1"/>
  </r>
  <r>
    <x v="7"/>
    <m/>
    <m/>
    <m/>
    <m/>
    <m/>
    <n v="4"/>
    <n v="5"/>
    <n v="850"/>
    <s v="HAMPSHIRE"/>
    <s v="Resourced Provision - Cherbourg Primary School"/>
    <d v="2022-09-01T00:00:00"/>
    <m/>
    <x v="5"/>
    <n v="0"/>
    <d v="2025-09-01T00:00:00"/>
    <d v="2025-12-31T00:00:00"/>
    <n v="1"/>
  </r>
  <r>
    <x v="7"/>
    <m/>
    <m/>
    <m/>
    <m/>
    <m/>
    <n v="5"/>
    <n v="6"/>
    <n v="850"/>
    <s v="HAMPSHIRE"/>
    <s v="Resourced Provision - Cherbourg Primary School"/>
    <d v="2022-09-01T00:00:00"/>
    <m/>
    <x v="5"/>
    <n v="0"/>
    <d v="2025-09-01T00:00:00"/>
    <d v="2025-12-31T00:00:00"/>
    <n v="1"/>
  </r>
  <r>
    <x v="8"/>
    <m/>
    <m/>
    <m/>
    <m/>
    <m/>
    <n v="5"/>
    <n v="6"/>
    <n v="850"/>
    <s v="HAMPSHIRE"/>
    <s v="Resourced Provision (BESD)- Trosnant Junior School"/>
    <d v="2024-09-01T00:00:00"/>
    <m/>
    <x v="5"/>
    <n v="0"/>
    <d v="2025-09-01T00:00:00"/>
    <d v="2025-12-31T00:00:00"/>
    <n v="1"/>
  </r>
  <r>
    <x v="8"/>
    <m/>
    <m/>
    <m/>
    <m/>
    <m/>
    <n v="3"/>
    <n v="4"/>
    <n v="850"/>
    <s v="HAMPSHIRE"/>
    <s v="Resourced Provision (BESD)- Trosnant Junior School"/>
    <d v="2025-09-01T00:00:00"/>
    <m/>
    <x v="5"/>
    <n v="0"/>
    <d v="2025-09-01T00:00:00"/>
    <d v="2025-12-31T00:00:00"/>
    <n v="1"/>
  </r>
  <r>
    <x v="8"/>
    <m/>
    <m/>
    <m/>
    <m/>
    <m/>
    <n v="3"/>
    <n v="4"/>
    <n v="850"/>
    <s v="HAMPSHIRE"/>
    <s v="Resourced Provision (BESD)- Trosnant Junior School"/>
    <d v="2024-09-01T00:00:00"/>
    <m/>
    <x v="5"/>
    <n v="0"/>
    <d v="2025-09-01T00:00:00"/>
    <d v="2025-12-31T00:00:00"/>
    <n v="1"/>
  </r>
  <r>
    <x v="8"/>
    <m/>
    <m/>
    <m/>
    <m/>
    <m/>
    <n v="5"/>
    <n v="6"/>
    <n v="850"/>
    <s v="HAMPSHIRE"/>
    <s v="Resourced Provision (BESD)- Trosnant Junior School"/>
    <d v="2025-09-01T00:00:00"/>
    <m/>
    <x v="5"/>
    <n v="0"/>
    <d v="2025-09-01T00:00:00"/>
    <d v="2025-12-31T00:00:00"/>
    <n v="1"/>
  </r>
  <r>
    <x v="8"/>
    <m/>
    <m/>
    <m/>
    <m/>
    <m/>
    <n v="4"/>
    <n v="5"/>
    <n v="850"/>
    <s v="HAMPSHIRE"/>
    <s v="Resourced Provision (BESD)- Trosnant Junior School"/>
    <d v="2025-09-01T00:00:00"/>
    <m/>
    <x v="5"/>
    <n v="0"/>
    <d v="2025-09-01T00:00:00"/>
    <d v="2025-12-31T00:00:00"/>
    <n v="1"/>
  </r>
  <r>
    <x v="8"/>
    <m/>
    <m/>
    <m/>
    <m/>
    <m/>
    <n v="4"/>
    <n v="5"/>
    <n v="850"/>
    <s v="HAMPSHIRE"/>
    <s v="Resourced Provision (BESD)- Trosnant Junior School"/>
    <d v="2025-09-01T00:00:00"/>
    <m/>
    <x v="5"/>
    <n v="0"/>
    <d v="2025-09-01T00:00:00"/>
    <d v="2025-12-31T00:00:00"/>
    <n v="1"/>
  </r>
  <r>
    <x v="8"/>
    <m/>
    <m/>
    <m/>
    <m/>
    <m/>
    <n v="6"/>
    <n v="7"/>
    <n v="850"/>
    <s v="HAMPSHIRE"/>
    <s v="Resourced Provision (BESD)- Trosnant Junior School"/>
    <d v="2022-09-01T00:00:00"/>
    <d v="2025-08-31T00:00:00"/>
    <x v="5"/>
    <n v="0"/>
    <s v=""/>
    <s v=""/>
    <n v="0"/>
  </r>
  <r>
    <x v="8"/>
    <m/>
    <m/>
    <m/>
    <m/>
    <m/>
    <n v="6"/>
    <n v="7"/>
    <n v="850"/>
    <s v="HAMPSHIRE"/>
    <s v="Resourced Provision (BESD)- Trosnant Junior School"/>
    <d v="2023-01-01T00:00:00"/>
    <d v="2025-08-31T00:00:00"/>
    <x v="5"/>
    <n v="0"/>
    <s v=""/>
    <s v=""/>
    <n v="0"/>
  </r>
  <r>
    <x v="8"/>
    <m/>
    <m/>
    <m/>
    <m/>
    <m/>
    <n v="6"/>
    <n v="7"/>
    <n v="850"/>
    <s v="HAMPSHIRE"/>
    <s v="Resourced Provision (BESD)- Trosnant Junior School"/>
    <d v="2022-09-01T00:00:00"/>
    <d v="2025-08-31T00:00:00"/>
    <x v="5"/>
    <n v="0"/>
    <s v=""/>
    <s v=""/>
    <n v="0"/>
  </r>
  <r>
    <x v="8"/>
    <m/>
    <m/>
    <m/>
    <m/>
    <m/>
    <n v="2"/>
    <n v="3"/>
    <n v="850"/>
    <s v="HAMPSHIRE"/>
    <s v="Resourced Provision (BESD)- Trosnant Junior School"/>
    <d v="2024-09-01T00:00:00"/>
    <m/>
    <x v="5"/>
    <n v="0"/>
    <d v="2025-09-01T00:00:00"/>
    <d v="2025-12-31T00:00:00"/>
    <n v="1"/>
  </r>
  <r>
    <x v="8"/>
    <m/>
    <m/>
    <m/>
    <m/>
    <m/>
    <n v="4"/>
    <n v="5"/>
    <n v="938"/>
    <s v="WEST SUSSEX"/>
    <s v="Resourced Provision (BESD)- Trosnant Junior School"/>
    <d v="2025-09-01T00:00:00"/>
    <m/>
    <x v="5"/>
    <n v="0"/>
    <d v="2025-09-01T00:00:00"/>
    <d v="2025-12-31T00:00:00"/>
    <n v="1"/>
  </r>
  <r>
    <x v="9"/>
    <m/>
    <m/>
    <m/>
    <m/>
    <m/>
    <n v="6"/>
    <n v="7"/>
    <n v="850"/>
    <s v="HAMPSHIRE"/>
    <s v="Resourced Provision (ASC) - Tiptoe Primary School"/>
    <d v="2021-09-01T00:00:00"/>
    <d v="2025-08-31T00:00:00"/>
    <x v="4"/>
    <n v="0"/>
    <s v=""/>
    <s v=""/>
    <n v="0"/>
  </r>
  <r>
    <x v="9"/>
    <m/>
    <m/>
    <m/>
    <m/>
    <m/>
    <n v="5"/>
    <n v="6"/>
    <n v="850"/>
    <s v="HAMPSHIRE"/>
    <s v="Resourced Provision (ASC) - Tiptoe Primary School"/>
    <d v="2022-09-01T00:00:00"/>
    <m/>
    <x v="4"/>
    <n v="0"/>
    <d v="2025-09-01T00:00:00"/>
    <d v="2025-12-31T00:00:00"/>
    <n v="1"/>
  </r>
  <r>
    <x v="9"/>
    <m/>
    <m/>
    <m/>
    <m/>
    <m/>
    <n v="5"/>
    <n v="6"/>
    <n v="850"/>
    <s v="HAMPSHIRE"/>
    <s v="Resourced Provision (SLD) - Tiptoe Primary School"/>
    <d v="2022-09-01T00:00:00"/>
    <d v="2025-08-31T00:00:00"/>
    <x v="0"/>
    <n v="0"/>
    <s v=""/>
    <s v=""/>
    <n v="0"/>
  </r>
  <r>
    <x v="9"/>
    <m/>
    <m/>
    <m/>
    <m/>
    <m/>
    <n v="4"/>
    <n v="5"/>
    <n v="850"/>
    <s v="HAMPSHIRE"/>
    <s v="Resourced Provision (ASC) - Tiptoe Primary School"/>
    <d v="2023-09-01T00:00:00"/>
    <m/>
    <x v="4"/>
    <n v="0"/>
    <d v="2025-09-01T00:00:00"/>
    <d v="2025-12-31T00:00:00"/>
    <n v="1"/>
  </r>
  <r>
    <x v="9"/>
    <m/>
    <m/>
    <m/>
    <m/>
    <m/>
    <n v="4"/>
    <n v="5"/>
    <n v="850"/>
    <s v="HAMPSHIRE"/>
    <s v="Resourced Provision (SLD) - Tiptoe Primary School"/>
    <d v="2024-09-01T00:00:00"/>
    <m/>
    <x v="0"/>
    <n v="0"/>
    <d v="2025-09-01T00:00:00"/>
    <d v="2025-12-31T00:00:00"/>
    <n v="1"/>
  </r>
  <r>
    <x v="9"/>
    <m/>
    <m/>
    <m/>
    <m/>
    <m/>
    <n v="6"/>
    <n v="7"/>
    <n v="850"/>
    <s v="HAMPSHIRE"/>
    <s v="Resourced Provision (ASC) - Tiptoe Primary School"/>
    <d v="2021-09-01T00:00:00"/>
    <d v="2025-08-31T00:00:00"/>
    <x v="4"/>
    <n v="0"/>
    <s v=""/>
    <s v=""/>
    <n v="0"/>
  </r>
  <r>
    <x v="9"/>
    <m/>
    <m/>
    <m/>
    <m/>
    <m/>
    <n v="3"/>
    <n v="4"/>
    <n v="850"/>
    <s v="HAMPSHIRE"/>
    <s v="Resourced Provision (SLD) - Tiptoe Primary School"/>
    <d v="2024-09-01T00:00:00"/>
    <m/>
    <x v="0"/>
    <n v="0"/>
    <d v="2025-09-01T00:00:00"/>
    <d v="2025-12-31T00:00:00"/>
    <n v="1"/>
  </r>
  <r>
    <x v="9"/>
    <m/>
    <m/>
    <m/>
    <m/>
    <m/>
    <n v="4"/>
    <n v="5"/>
    <n v="850"/>
    <s v="HAMPSHIRE"/>
    <s v="Resourced Provision (ASC) - Tiptoe Primary School"/>
    <d v="2024-04-15T00:00:00"/>
    <m/>
    <x v="4"/>
    <n v="0"/>
    <d v="2025-09-01T00:00:00"/>
    <d v="2025-12-31T00:00:00"/>
    <n v="1"/>
  </r>
  <r>
    <x v="9"/>
    <m/>
    <m/>
    <m/>
    <m/>
    <m/>
    <n v="2"/>
    <n v="3"/>
    <n v="850"/>
    <s v="HAMPSHIRE"/>
    <s v="Resourced Provision (ASC) - Tiptoe Primary School"/>
    <d v="2025-09-01T00:00:00"/>
    <m/>
    <x v="4"/>
    <n v="0"/>
    <d v="2025-09-01T00:00:00"/>
    <d v="2025-12-31T00:00:00"/>
    <n v="1"/>
  </r>
  <r>
    <x v="9"/>
    <m/>
    <m/>
    <m/>
    <m/>
    <m/>
    <n v="4"/>
    <n v="5"/>
    <n v="850"/>
    <s v="HAMPSHIRE"/>
    <s v="Resourced Provision (ASC) - Tiptoe Primary School"/>
    <d v="2023-09-01T00:00:00"/>
    <m/>
    <x v="4"/>
    <n v="0"/>
    <d v="2025-09-01T00:00:00"/>
    <d v="2025-12-31T00:00:00"/>
    <n v="1"/>
  </r>
  <r>
    <x v="9"/>
    <m/>
    <m/>
    <m/>
    <m/>
    <m/>
    <n v="5"/>
    <n v="6"/>
    <n v="850"/>
    <s v="HAMPSHIRE"/>
    <s v="Resourced Provision (SLD) - Tiptoe Primary School"/>
    <d v="2022-09-01T00:00:00"/>
    <m/>
    <x v="0"/>
    <n v="0"/>
    <d v="2025-09-01T00:00:00"/>
    <d v="2025-12-31T00:00:00"/>
    <n v="1"/>
  </r>
  <r>
    <x v="9"/>
    <m/>
    <m/>
    <m/>
    <m/>
    <m/>
    <n v="3"/>
    <n v="4"/>
    <n v="850"/>
    <s v="HAMPSHIRE"/>
    <s v="Resourced Provision (ASC) - Tiptoe Primary School"/>
    <d v="2024-09-01T00:00:00"/>
    <m/>
    <x v="4"/>
    <n v="0"/>
    <d v="2025-09-01T00:00:00"/>
    <d v="2025-12-31T00:00:00"/>
    <n v="1"/>
  </r>
  <r>
    <x v="9"/>
    <m/>
    <m/>
    <m/>
    <m/>
    <m/>
    <n v="6"/>
    <n v="7"/>
    <n v="850"/>
    <s v="HAMPSHIRE"/>
    <s v="Resourced Provision (ASC) - Tiptoe Primary School"/>
    <d v="2022-03-08T00:00:00"/>
    <d v="2025-08-31T00:00:00"/>
    <x v="4"/>
    <n v="0"/>
    <s v=""/>
    <s v=""/>
    <n v="0"/>
  </r>
  <r>
    <x v="9"/>
    <m/>
    <m/>
    <m/>
    <m/>
    <m/>
    <n v="2"/>
    <n v="3"/>
    <n v="850"/>
    <s v="HAMPSHIRE"/>
    <s v="Resourced Provision (ASC) - Tiptoe Primary School"/>
    <d v="2025-09-01T00:00:00"/>
    <m/>
    <x v="4"/>
    <n v="0"/>
    <d v="2025-09-01T00:00:00"/>
    <d v="2025-12-31T00:00:00"/>
    <n v="1"/>
  </r>
  <r>
    <x v="9"/>
    <m/>
    <m/>
    <m/>
    <m/>
    <m/>
    <n v="4"/>
    <n v="5"/>
    <n v="850"/>
    <s v="HAMPSHIRE"/>
    <s v="Resourced Provision (ASC) - Tiptoe Primary School"/>
    <d v="2023-09-01T00:00:00"/>
    <m/>
    <x v="4"/>
    <n v="0"/>
    <d v="2025-09-01T00:00:00"/>
    <d v="2025-12-31T00:00:00"/>
    <n v="1"/>
  </r>
  <r>
    <x v="9"/>
    <m/>
    <m/>
    <m/>
    <m/>
    <m/>
    <n v="5"/>
    <n v="6"/>
    <n v="850"/>
    <s v="HAMPSHIRE"/>
    <s v="Resourced Provision (SLD) - Tiptoe Primary School"/>
    <d v="2022-09-01T00:00:00"/>
    <m/>
    <x v="0"/>
    <n v="0"/>
    <d v="2025-09-01T00:00:00"/>
    <d v="2025-12-31T00:00:00"/>
    <n v="1"/>
  </r>
  <r>
    <x v="9"/>
    <m/>
    <m/>
    <m/>
    <m/>
    <m/>
    <n v="5"/>
    <n v="6"/>
    <n v="850"/>
    <s v="HAMPSHIRE"/>
    <s v="Resourced Provision (SLD) - Tiptoe Primary School"/>
    <d v="2022-09-01T00:00:00"/>
    <m/>
    <x v="0"/>
    <n v="0"/>
    <d v="2025-09-01T00:00:00"/>
    <d v="2025-12-31T00:00:00"/>
    <n v="1"/>
  </r>
  <r>
    <x v="9"/>
    <m/>
    <m/>
    <m/>
    <m/>
    <m/>
    <n v="5"/>
    <n v="6"/>
    <n v="850"/>
    <s v="HAMPSHIRE"/>
    <s v="Resourced Provision (ASC) - Tiptoe Primary School"/>
    <d v="2022-09-01T00:00:00"/>
    <m/>
    <x v="4"/>
    <n v="0"/>
    <d v="2025-09-01T00:00:00"/>
    <d v="2025-12-31T00:00:00"/>
    <n v="1"/>
  </r>
  <r>
    <x v="9"/>
    <m/>
    <m/>
    <m/>
    <m/>
    <m/>
    <n v="4"/>
    <n v="5"/>
    <n v="850"/>
    <s v="HAMPSHIRE"/>
    <s v="Resourced Provision (SLD) - Tiptoe Primary School"/>
    <d v="2023-09-01T00:00:00"/>
    <m/>
    <x v="0"/>
    <n v="0"/>
    <d v="2025-09-01T00:00:00"/>
    <d v="2025-12-31T00:00:00"/>
    <n v="1"/>
  </r>
  <r>
    <x v="9"/>
    <m/>
    <m/>
    <m/>
    <m/>
    <m/>
    <n v="4"/>
    <n v="5"/>
    <n v="850"/>
    <s v="HAMPSHIRE"/>
    <s v="Resourced Provision (ASC) - Tiptoe Primary School"/>
    <d v="2025-09-01T00:00:00"/>
    <m/>
    <x v="4"/>
    <n v="0"/>
    <d v="2025-09-01T00:00:00"/>
    <d v="2025-12-31T00:00:00"/>
    <n v="1"/>
  </r>
  <r>
    <x v="9"/>
    <m/>
    <m/>
    <m/>
    <m/>
    <m/>
    <n v="4"/>
    <n v="5"/>
    <n v="850"/>
    <s v="HAMPSHIRE"/>
    <s v="Resourced Provision (ASC) - Tiptoe Primary School"/>
    <d v="2025-09-01T00:00:00"/>
    <m/>
    <x v="4"/>
    <n v="0"/>
    <d v="2025-09-01T00:00:00"/>
    <d v="2025-12-31T00:00:00"/>
    <n v="1"/>
  </r>
  <r>
    <x v="9"/>
    <m/>
    <m/>
    <m/>
    <m/>
    <m/>
    <n v="6"/>
    <n v="7"/>
    <n v="850"/>
    <s v="HAMPSHIRE"/>
    <s v="Resourced Provision (SLD) - Tiptoe Primary School"/>
    <d v="2021-09-01T00:00:00"/>
    <d v="2025-08-31T00:00:00"/>
    <x v="0"/>
    <n v="0"/>
    <s v=""/>
    <s v=""/>
    <n v="0"/>
  </r>
  <r>
    <x v="9"/>
    <m/>
    <m/>
    <m/>
    <m/>
    <m/>
    <n v="5"/>
    <n v="6"/>
    <n v="850"/>
    <s v="HAMPSHIRE"/>
    <s v="Resourced Provision (SLD) - Tiptoe Primary School"/>
    <d v="2022-09-01T00:00:00"/>
    <m/>
    <x v="0"/>
    <n v="0"/>
    <d v="2025-09-01T00:00:00"/>
    <d v="2025-12-31T00:00:00"/>
    <n v="1"/>
  </r>
  <r>
    <x v="9"/>
    <m/>
    <m/>
    <m/>
    <m/>
    <m/>
    <n v="2"/>
    <n v="3"/>
    <n v="850"/>
    <s v="HAMPSHIRE"/>
    <s v="Resourced Provision (ASC) - Tiptoe Primary School"/>
    <d v="2025-09-01T00:00:00"/>
    <m/>
    <x v="4"/>
    <n v="0"/>
    <d v="2025-09-01T00:00:00"/>
    <d v="2025-12-31T00:00:00"/>
    <n v="1"/>
  </r>
  <r>
    <x v="10"/>
    <m/>
    <m/>
    <m/>
    <m/>
    <m/>
    <n v="6"/>
    <n v="7"/>
    <n v="850"/>
    <s v="HAMPSHIRE"/>
    <s v="Resourced Provision - Liss Junior School"/>
    <d v="2021-09-01T00:00:00"/>
    <d v="2025-08-31T00:00:00"/>
    <x v="3"/>
    <n v="0"/>
    <s v=""/>
    <s v=""/>
    <n v="0"/>
  </r>
  <r>
    <x v="10"/>
    <m/>
    <m/>
    <m/>
    <m/>
    <m/>
    <n v="3"/>
    <n v="4"/>
    <n v="850"/>
    <s v="HAMPSHIRE"/>
    <s v="Resourced Provision - Liss Junior School"/>
    <d v="2024-09-01T00:00:00"/>
    <m/>
    <x v="3"/>
    <n v="0"/>
    <d v="2025-09-01T00:00:00"/>
    <d v="2025-12-31T00:00:00"/>
    <n v="1"/>
  </r>
  <r>
    <x v="10"/>
    <m/>
    <m/>
    <m/>
    <m/>
    <m/>
    <n v="5"/>
    <n v="6"/>
    <n v="850"/>
    <s v="HAMPSHIRE"/>
    <s v="Resourced Provision - Liss Junior School"/>
    <d v="2024-09-01T00:00:00"/>
    <m/>
    <x v="3"/>
    <n v="0"/>
    <d v="2025-09-01T00:00:00"/>
    <d v="2025-12-31T00:00:00"/>
    <n v="1"/>
  </r>
  <r>
    <x v="10"/>
    <m/>
    <m/>
    <m/>
    <m/>
    <m/>
    <n v="6"/>
    <n v="7"/>
    <n v="850"/>
    <s v="HAMPSHIRE"/>
    <s v="Resourced Provision - Liss Junior School"/>
    <d v="2023-04-17T00:00:00"/>
    <d v="2025-08-31T00:00:00"/>
    <x v="3"/>
    <n v="0"/>
    <s v=""/>
    <s v=""/>
    <n v="0"/>
  </r>
  <r>
    <x v="10"/>
    <m/>
    <m/>
    <m/>
    <m/>
    <m/>
    <n v="4"/>
    <n v="5"/>
    <n v="850"/>
    <s v="HAMPSHIRE"/>
    <s v="Resourced Provision - Liss Junior School"/>
    <d v="2023-09-01T00:00:00"/>
    <m/>
    <x v="3"/>
    <n v="0"/>
    <d v="2025-09-01T00:00:00"/>
    <d v="2025-12-31T00:00:00"/>
    <n v="1"/>
  </r>
  <r>
    <x v="10"/>
    <m/>
    <m/>
    <m/>
    <m/>
    <m/>
    <n v="3"/>
    <n v="4"/>
    <n v="850"/>
    <s v="HAMPSHIRE"/>
    <s v="Resourced Provision - Liss Junior School"/>
    <d v="2024-09-01T00:00:00"/>
    <m/>
    <x v="3"/>
    <n v="0"/>
    <d v="2025-09-01T00:00:00"/>
    <d v="2025-12-31T00:00:00"/>
    <n v="1"/>
  </r>
  <r>
    <x v="10"/>
    <m/>
    <m/>
    <m/>
    <m/>
    <m/>
    <n v="4"/>
    <n v="5"/>
    <n v="850"/>
    <s v="HAMPSHIRE"/>
    <s v="Resourced Provision - Liss Junior School"/>
    <d v="2023-09-01T00:00:00"/>
    <m/>
    <x v="3"/>
    <n v="0"/>
    <d v="2025-09-01T00:00:00"/>
    <d v="2025-12-31T00:00:00"/>
    <n v="1"/>
  </r>
  <r>
    <x v="10"/>
    <m/>
    <m/>
    <m/>
    <m/>
    <m/>
    <n v="5"/>
    <n v="6"/>
    <n v="850"/>
    <s v="HAMPSHIRE"/>
    <s v="Resourced Provision - Liss Junior School"/>
    <d v="2023-09-01T00:00:00"/>
    <m/>
    <x v="3"/>
    <n v="0"/>
    <d v="2025-09-01T00:00:00"/>
    <d v="2025-12-31T00:00:00"/>
    <n v="1"/>
  </r>
  <r>
    <x v="10"/>
    <m/>
    <m/>
    <m/>
    <m/>
    <m/>
    <n v="6"/>
    <n v="7"/>
    <n v="850"/>
    <s v="HAMPSHIRE"/>
    <s v="Resourced Provision - Liss Junior School"/>
    <d v="2021-09-01T00:00:00"/>
    <d v="2025-08-31T00:00:00"/>
    <x v="3"/>
    <n v="0"/>
    <s v=""/>
    <s v=""/>
    <n v="0"/>
  </r>
  <r>
    <x v="10"/>
    <m/>
    <m/>
    <m/>
    <m/>
    <m/>
    <n v="5"/>
    <n v="6"/>
    <n v="850"/>
    <s v="HAMPSHIRE"/>
    <s v="Resourced Provision - Liss Junior School"/>
    <d v="2022-09-01T00:00:00"/>
    <m/>
    <x v="3"/>
    <n v="0"/>
    <d v="2025-09-01T00:00:00"/>
    <d v="2025-12-31T00:00:00"/>
    <n v="1"/>
  </r>
  <r>
    <x v="10"/>
    <m/>
    <m/>
    <m/>
    <m/>
    <m/>
    <n v="5"/>
    <n v="6"/>
    <n v="850"/>
    <s v="HAMPSHIRE"/>
    <s v="Resourced Provision - Liss Junior School"/>
    <d v="2022-09-01T00:00:00"/>
    <m/>
    <x v="3"/>
    <n v="0"/>
    <d v="2025-09-01T00:00:00"/>
    <d v="2025-12-31T00:00:00"/>
    <n v="1"/>
  </r>
  <r>
    <x v="11"/>
    <m/>
    <m/>
    <m/>
    <m/>
    <m/>
    <n v="2"/>
    <n v="3"/>
    <n v="850"/>
    <s v="HAMPSHIRE"/>
    <s v="Resourced Provision - Vigo Primary School"/>
    <d v="2025-04-22T00:00:00"/>
    <m/>
    <x v="2"/>
    <n v="0"/>
    <d v="2025-09-01T00:00:00"/>
    <d v="2025-12-31T00:00:00"/>
    <n v="1"/>
  </r>
  <r>
    <x v="11"/>
    <m/>
    <m/>
    <m/>
    <m/>
    <m/>
    <n v="6"/>
    <n v="7"/>
    <n v="850"/>
    <s v="HAMPSHIRE"/>
    <s v="Resourced Provision - Vigo Primary School"/>
    <d v="2023-09-01T00:00:00"/>
    <d v="2025-08-31T00:00:00"/>
    <x v="2"/>
    <n v="0"/>
    <s v=""/>
    <s v=""/>
    <n v="0"/>
  </r>
  <r>
    <x v="11"/>
    <m/>
    <m/>
    <m/>
    <m/>
    <m/>
    <n v="4"/>
    <n v="5"/>
    <n v="850"/>
    <s v="HAMPSHIRE"/>
    <s v="Resourced Provision - Vigo Primary School"/>
    <d v="2023-06-14T00:00:00"/>
    <m/>
    <x v="2"/>
    <n v="0"/>
    <d v="2025-09-01T00:00:00"/>
    <d v="2025-12-31T00:00:00"/>
    <n v="1"/>
  </r>
  <r>
    <x v="11"/>
    <m/>
    <m/>
    <m/>
    <m/>
    <m/>
    <n v="6"/>
    <n v="7"/>
    <n v="850"/>
    <s v="HAMPSHIRE"/>
    <s v="Resourced Provision - Vigo Primary School"/>
    <d v="2023-05-18T00:00:00"/>
    <d v="2025-08-31T00:00:00"/>
    <x v="2"/>
    <n v="0"/>
    <s v=""/>
    <s v=""/>
    <n v="0"/>
  </r>
  <r>
    <x v="11"/>
    <m/>
    <m/>
    <m/>
    <m/>
    <m/>
    <n v="4"/>
    <n v="5"/>
    <n v="850"/>
    <s v="HAMPSHIRE"/>
    <s v="Resourced Provision - Vigo Primary School"/>
    <d v="2023-06-26T00:00:00"/>
    <m/>
    <x v="2"/>
    <n v="0"/>
    <d v="2025-09-01T00:00:00"/>
    <d v="2025-12-31T00:00:00"/>
    <n v="1"/>
  </r>
  <r>
    <x v="11"/>
    <m/>
    <m/>
    <m/>
    <m/>
    <m/>
    <n v="6"/>
    <n v="7"/>
    <n v="850"/>
    <s v="HAMPSHIRE"/>
    <s v="Resourced Provision - Vigo Primary School"/>
    <d v="2023-06-14T00:00:00"/>
    <d v="2025-08-31T00:00:00"/>
    <x v="2"/>
    <n v="0"/>
    <s v=""/>
    <s v=""/>
    <n v="0"/>
  </r>
  <r>
    <x v="11"/>
    <m/>
    <m/>
    <m/>
    <m/>
    <m/>
    <n v="-1"/>
    <n v="0"/>
    <n v="850"/>
    <s v="HAMPSHIRE"/>
    <s v="Resourced Provision - Vigo Primary School"/>
    <d v="2025-09-01T00:00:00"/>
    <m/>
    <x v="2"/>
    <n v="0"/>
    <d v="2025-09-01T00:00:00"/>
    <d v="2025-12-31T00:00:00"/>
    <n v="1"/>
  </r>
  <r>
    <x v="11"/>
    <m/>
    <m/>
    <m/>
    <m/>
    <m/>
    <n v="4"/>
    <n v="5"/>
    <n v="850"/>
    <s v="HAMPSHIRE"/>
    <s v="Resourced Provision - Vigo Primary School"/>
    <d v="2023-06-26T00:00:00"/>
    <m/>
    <x v="2"/>
    <n v="0"/>
    <d v="2025-09-01T00:00:00"/>
    <d v="2025-12-31T00:00:00"/>
    <n v="1"/>
  </r>
  <r>
    <x v="11"/>
    <m/>
    <m/>
    <m/>
    <m/>
    <m/>
    <n v="6"/>
    <n v="7"/>
    <n v="850"/>
    <s v="HAMPSHIRE"/>
    <s v="Resourced Provision - Vigo Primary School"/>
    <d v="2023-06-14T00:00:00"/>
    <d v="2025-08-31T00:00:00"/>
    <x v="2"/>
    <n v="0"/>
    <s v=""/>
    <s v=""/>
    <n v="0"/>
  </r>
  <r>
    <x v="11"/>
    <m/>
    <m/>
    <m/>
    <m/>
    <m/>
    <n v="0"/>
    <n v="1"/>
    <n v="850"/>
    <s v="HAMPSHIRE"/>
    <s v="Resourced Provision - Vigo Primary School"/>
    <d v="2024-09-13T00:00:00"/>
    <m/>
    <x v="2"/>
    <n v="0"/>
    <d v="2025-09-01T00:00:00"/>
    <d v="2025-12-31T00:00:00"/>
    <n v="1"/>
  </r>
  <r>
    <x v="11"/>
    <m/>
    <m/>
    <m/>
    <m/>
    <m/>
    <n v="1"/>
    <n v="2"/>
    <n v="850"/>
    <s v="HAMPSHIRE"/>
    <s v="Resourced Provision - Vigo Primary School"/>
    <d v="2023-09-01T00:00:00"/>
    <m/>
    <x v="2"/>
    <n v="0"/>
    <d v="2025-09-01T00:00:00"/>
    <d v="2025-12-31T00:00:00"/>
    <n v="1"/>
  </r>
  <r>
    <x v="11"/>
    <m/>
    <m/>
    <m/>
    <m/>
    <m/>
    <n v="5"/>
    <n v="6"/>
    <n v="850"/>
    <s v="HAMPSHIRE"/>
    <s v="Resourced Provision - Vigo Primary School"/>
    <d v="2023-11-02T00:00:00"/>
    <m/>
    <x v="2"/>
    <n v="0"/>
    <d v="2025-09-01T00:00:00"/>
    <d v="2025-12-31T00:00:00"/>
    <n v="1"/>
  </r>
  <r>
    <x v="11"/>
    <m/>
    <m/>
    <m/>
    <m/>
    <m/>
    <n v="2"/>
    <n v="3"/>
    <n v="850"/>
    <s v="HAMPSHIRE"/>
    <s v="Resourced Provision - Vigo Primary School"/>
    <d v="2025-03-04T00:00:00"/>
    <m/>
    <x v="2"/>
    <n v="0"/>
    <d v="2025-09-01T00:00:00"/>
    <d v="2025-12-31T00:00:00"/>
    <n v="1"/>
  </r>
  <r>
    <x v="12"/>
    <m/>
    <m/>
    <m/>
    <m/>
    <m/>
    <n v="-1"/>
    <n v="0"/>
    <n v="850"/>
    <s v="HAMPSHIRE"/>
    <s v="Resourced Provision (SLCN) - South View Infant"/>
    <d v="2025-09-01T00:00:00"/>
    <m/>
    <x v="2"/>
    <n v="0"/>
    <d v="2025-09-01T00:00:00"/>
    <d v="2025-12-31T00:00:00"/>
    <n v="1"/>
  </r>
  <r>
    <x v="12"/>
    <m/>
    <m/>
    <m/>
    <m/>
    <m/>
    <n v="0"/>
    <n v="1"/>
    <n v="850"/>
    <s v="HAMPSHIRE"/>
    <s v="Resourced Provision (SLCN) - South View Infant"/>
    <d v="2024-09-01T00:00:00"/>
    <m/>
    <x v="2"/>
    <n v="0"/>
    <d v="2025-09-01T00:00:00"/>
    <d v="2025-12-31T00:00:00"/>
    <n v="1"/>
  </r>
  <r>
    <x v="12"/>
    <m/>
    <m/>
    <m/>
    <m/>
    <m/>
    <n v="1"/>
    <n v="2"/>
    <n v="850"/>
    <s v="HAMPSHIRE"/>
    <s v="Resourced Provision (SLCN) - South View Infant"/>
    <d v="2023-09-01T00:00:00"/>
    <m/>
    <x v="2"/>
    <n v="0"/>
    <d v="2025-09-01T00:00:00"/>
    <d v="2025-12-31T00:00:00"/>
    <n v="1"/>
  </r>
  <r>
    <x v="12"/>
    <m/>
    <m/>
    <m/>
    <m/>
    <m/>
    <n v="2"/>
    <n v="3"/>
    <n v="850"/>
    <s v="HAMPSHIRE"/>
    <s v="Resourced Provision (SLCN) - South View Infant"/>
    <d v="2022-09-01T00:00:00"/>
    <d v="2025-08-31T00:00:00"/>
    <x v="2"/>
    <n v="0"/>
    <s v=""/>
    <s v=""/>
    <n v="0"/>
  </r>
  <r>
    <x v="12"/>
    <m/>
    <m/>
    <m/>
    <m/>
    <m/>
    <n v="0"/>
    <n v="1"/>
    <n v="850"/>
    <s v="HAMPSHIRE"/>
    <s v="Resourced Provision (SLCN) - South View Infant"/>
    <d v="2025-09-01T00:00:00"/>
    <m/>
    <x v="2"/>
    <n v="0"/>
    <d v="2025-09-01T00:00:00"/>
    <d v="2025-12-31T00:00:00"/>
    <n v="1"/>
  </r>
  <r>
    <x v="12"/>
    <m/>
    <m/>
    <m/>
    <m/>
    <m/>
    <n v="1"/>
    <n v="2"/>
    <n v="850"/>
    <s v="HAMPSHIRE"/>
    <s v="Resourced Provision (SLCN) - South View Infant"/>
    <d v="2023-09-01T00:00:00"/>
    <m/>
    <x v="2"/>
    <n v="0"/>
    <d v="2025-09-01T00:00:00"/>
    <d v="2025-12-31T00:00:00"/>
    <n v="1"/>
  </r>
  <r>
    <x v="12"/>
    <m/>
    <m/>
    <m/>
    <m/>
    <m/>
    <n v="2"/>
    <n v="3"/>
    <n v="850"/>
    <s v="HAMPSHIRE"/>
    <s v="Resourced Provision (SLCN) - South View Infant"/>
    <d v="2022-09-01T00:00:00"/>
    <d v="2025-08-31T00:00:00"/>
    <x v="2"/>
    <n v="0"/>
    <s v=""/>
    <s v=""/>
    <n v="0"/>
  </r>
  <r>
    <x v="12"/>
    <m/>
    <m/>
    <m/>
    <m/>
    <m/>
    <n v="1"/>
    <n v="2"/>
    <n v="850"/>
    <s v="HAMPSHIRE"/>
    <s v="Resourced Provision (SLCN) - South View Infant"/>
    <d v="2023-09-01T00:00:00"/>
    <m/>
    <x v="2"/>
    <n v="0"/>
    <d v="2025-09-01T00:00:00"/>
    <d v="2025-12-31T00:00:00"/>
    <n v="1"/>
  </r>
  <r>
    <x v="12"/>
    <m/>
    <m/>
    <m/>
    <m/>
    <m/>
    <n v="1"/>
    <n v="2"/>
    <n v="850"/>
    <s v="HAMPSHIRE"/>
    <s v="Resourced Provision (SLCN) - South View Infant"/>
    <d v="2023-09-01T00:00:00"/>
    <d v="2025-05-12T00:00:00"/>
    <x v="2"/>
    <n v="0"/>
    <s v=""/>
    <s v=""/>
    <n v="0"/>
  </r>
  <r>
    <x v="12"/>
    <m/>
    <m/>
    <m/>
    <m/>
    <m/>
    <n v="1"/>
    <n v="2"/>
    <n v="850"/>
    <s v="HAMPSHIRE"/>
    <s v="Resourced Provision (SLCN) - South View Infant"/>
    <d v="2025-09-01T00:00:00"/>
    <m/>
    <x v="2"/>
    <n v="0"/>
    <d v="2025-09-01T00:00:00"/>
    <d v="2025-12-31T00:00:00"/>
    <n v="1"/>
  </r>
  <r>
    <x v="12"/>
    <m/>
    <m/>
    <m/>
    <m/>
    <m/>
    <n v="1"/>
    <n v="2"/>
    <n v="850"/>
    <s v="HAMPSHIRE"/>
    <s v="Resourced Provision (SLCN) - South View Infant"/>
    <d v="2023-09-01T00:00:00"/>
    <m/>
    <x v="2"/>
    <n v="0"/>
    <d v="2025-09-01T00:00:00"/>
    <d v="2025-12-31T00:00:00"/>
    <n v="1"/>
  </r>
  <r>
    <x v="12"/>
    <m/>
    <m/>
    <m/>
    <m/>
    <m/>
    <n v="-1"/>
    <n v="0"/>
    <n v="850"/>
    <s v="HAMPSHIRE"/>
    <s v="Resourced Provision (SLCN) - South View Infant"/>
    <d v="2025-09-01T00:00:00"/>
    <m/>
    <x v="2"/>
    <n v="0"/>
    <d v="2025-09-01T00:00:00"/>
    <d v="2025-12-31T00:00:00"/>
    <n v="1"/>
  </r>
  <r>
    <x v="12"/>
    <m/>
    <m/>
    <m/>
    <m/>
    <m/>
    <n v="2"/>
    <n v="3"/>
    <n v="850"/>
    <s v="HAMPSHIRE"/>
    <s v="Resourced Provision (SLCN) - South View Infant"/>
    <d v="2022-09-01T00:00:00"/>
    <d v="2025-08-31T00:00:00"/>
    <x v="2"/>
    <n v="0"/>
    <s v=""/>
    <s v=""/>
    <n v="0"/>
  </r>
  <r>
    <x v="12"/>
    <m/>
    <m/>
    <m/>
    <m/>
    <m/>
    <n v="-1"/>
    <n v="0"/>
    <n v="850"/>
    <s v="HAMPSHIRE"/>
    <s v="Resourced Provision (SLCN) - South View Infant"/>
    <d v="2025-09-01T00:00:00"/>
    <m/>
    <x v="2"/>
    <n v="0"/>
    <d v="2025-09-01T00:00:00"/>
    <d v="2025-12-31T00:00:00"/>
    <n v="1"/>
  </r>
  <r>
    <x v="12"/>
    <m/>
    <m/>
    <m/>
    <m/>
    <m/>
    <n v="0"/>
    <n v="1"/>
    <n v="850"/>
    <s v="HAMPSHIRE"/>
    <s v="Resourced Provision (SLCN) - South View Infant"/>
    <d v="2024-09-01T00:00:00"/>
    <m/>
    <x v="2"/>
    <n v="0"/>
    <d v="2025-09-01T00:00:00"/>
    <d v="2025-12-31T00:00:00"/>
    <n v="1"/>
  </r>
  <r>
    <x v="12"/>
    <m/>
    <m/>
    <m/>
    <m/>
    <m/>
    <n v="0"/>
    <n v="1"/>
    <n v="850"/>
    <s v="HAMPSHIRE"/>
    <s v="Resourced Provision (SLCN) - South View Infant"/>
    <d v="2024-09-01T00:00:00"/>
    <d v="2025-08-31T00:00:00"/>
    <x v="2"/>
    <n v="0"/>
    <s v=""/>
    <s v=""/>
    <n v="0"/>
  </r>
  <r>
    <x v="12"/>
    <m/>
    <m/>
    <m/>
    <m/>
    <m/>
    <n v="2"/>
    <n v="3"/>
    <n v="850"/>
    <s v="HAMPSHIRE"/>
    <s v="Resourced Provision (SLCN) - South View Infant"/>
    <d v="2022-09-01T00:00:00"/>
    <d v="2025-08-31T00:00:00"/>
    <x v="2"/>
    <n v="0"/>
    <s v=""/>
    <s v=""/>
    <n v="0"/>
  </r>
  <r>
    <x v="12"/>
    <m/>
    <m/>
    <m/>
    <m/>
    <m/>
    <n v="0"/>
    <n v="1"/>
    <n v="850"/>
    <s v="HAMPSHIRE"/>
    <s v="Resourced Provision (SLCN) - South View Infant"/>
    <d v="2024-09-01T00:00:00"/>
    <m/>
    <x v="2"/>
    <n v="0"/>
    <d v="2025-09-01T00:00:00"/>
    <d v="2025-12-31T00:00:00"/>
    <n v="1"/>
  </r>
  <r>
    <x v="12"/>
    <m/>
    <m/>
    <m/>
    <m/>
    <m/>
    <n v="-1"/>
    <n v="0"/>
    <n v="850"/>
    <s v="HAMPSHIRE"/>
    <s v="Resourced Provision (SLCN) - South View Infant"/>
    <d v="2025-09-01T00:00:00"/>
    <m/>
    <x v="2"/>
    <n v="0"/>
    <d v="2025-09-01T00:00:00"/>
    <d v="2025-12-31T00:00:00"/>
    <n v="1"/>
  </r>
  <r>
    <x v="12"/>
    <m/>
    <m/>
    <m/>
    <m/>
    <m/>
    <n v="2"/>
    <n v="3"/>
    <n v="850"/>
    <s v="HAMPSHIRE"/>
    <s v="Resourced Provision (MLD) - South View Infant"/>
    <d v="2022-09-01T00:00:00"/>
    <d v="2025-08-31T00:00:00"/>
    <x v="3"/>
    <n v="0"/>
    <s v=""/>
    <s v=""/>
    <n v="0"/>
  </r>
  <r>
    <x v="12"/>
    <m/>
    <m/>
    <m/>
    <m/>
    <m/>
    <n v="2"/>
    <n v="3"/>
    <n v="850"/>
    <s v="HAMPSHIRE"/>
    <s v="Resourced Provision (SLCN) - South View Infant"/>
    <d v="2022-09-01T00:00:00"/>
    <d v="2025-08-31T00:00:00"/>
    <x v="2"/>
    <n v="0"/>
    <s v=""/>
    <s v=""/>
    <n v="0"/>
  </r>
  <r>
    <x v="12"/>
    <m/>
    <m/>
    <m/>
    <m/>
    <m/>
    <n v="0"/>
    <n v="1"/>
    <n v="850"/>
    <s v="HAMPSHIRE"/>
    <s v="Resourced Provision (SLCN) - South View Infant"/>
    <d v="2024-09-01T00:00:00"/>
    <m/>
    <x v="2"/>
    <n v="0"/>
    <d v="2025-09-01T00:00:00"/>
    <d v="2025-12-31T00:00:00"/>
    <n v="1"/>
  </r>
  <r>
    <x v="12"/>
    <m/>
    <m/>
    <m/>
    <m/>
    <m/>
    <n v="1"/>
    <n v="2"/>
    <n v="850"/>
    <s v="HAMPSHIRE"/>
    <s v="Resourced Provision (SLCN) - South View Infant"/>
    <d v="2023-09-01T00:00:00"/>
    <m/>
    <x v="2"/>
    <n v="0"/>
    <d v="2025-09-01T00:00:00"/>
    <d v="2025-12-31T00:00:00"/>
    <n v="1"/>
  </r>
  <r>
    <x v="12"/>
    <m/>
    <m/>
    <m/>
    <m/>
    <m/>
    <n v="0"/>
    <n v="1"/>
    <n v="850"/>
    <s v="HAMPSHIRE"/>
    <s v="Resourced Provision (SLCN) - South View Infant"/>
    <d v="2024-09-01T00:00:00"/>
    <m/>
    <x v="2"/>
    <n v="0"/>
    <d v="2025-09-01T00:00:00"/>
    <d v="2025-12-31T00:00:00"/>
    <n v="1"/>
  </r>
  <r>
    <x v="12"/>
    <m/>
    <m/>
    <m/>
    <m/>
    <m/>
    <n v="0"/>
    <n v="1"/>
    <n v="850"/>
    <s v="HAMPSHIRE"/>
    <s v="Resourced Provision (SLCN) - South View Infant"/>
    <d v="2025-03-12T00:00:00"/>
    <m/>
    <x v="2"/>
    <n v="0"/>
    <d v="2025-09-01T00:00:00"/>
    <d v="2025-12-31T00:00:00"/>
    <n v="1"/>
  </r>
  <r>
    <x v="12"/>
    <m/>
    <m/>
    <m/>
    <m/>
    <m/>
    <n v="-1"/>
    <n v="0"/>
    <n v="850"/>
    <s v="HAMPSHIRE"/>
    <s v="Resourced Provision (SLCN) - South View Infant"/>
    <d v="2025-09-01T00:00:00"/>
    <m/>
    <x v="2"/>
    <n v="0"/>
    <d v="2025-09-01T00:00:00"/>
    <d v="2025-12-31T00:00:00"/>
    <n v="1"/>
  </r>
  <r>
    <x v="12"/>
    <m/>
    <m/>
    <m/>
    <m/>
    <m/>
    <n v="0"/>
    <n v="1"/>
    <n v="850"/>
    <s v="HAMPSHIRE"/>
    <s v="Resourced Provision (SLCN) - South View Infant"/>
    <d v="2024-09-01T00:00:00"/>
    <m/>
    <x v="2"/>
    <n v="0"/>
    <d v="2025-09-01T00:00:00"/>
    <d v="2025-12-31T00:00:00"/>
    <n v="1"/>
  </r>
  <r>
    <x v="12"/>
    <m/>
    <m/>
    <m/>
    <m/>
    <m/>
    <n v="1"/>
    <n v="2"/>
    <n v="850"/>
    <s v="HAMPSHIRE"/>
    <s v="Resourced Provision (SLCN) - South View Infant"/>
    <d v="2023-09-01T00:00:00"/>
    <m/>
    <x v="2"/>
    <n v="0"/>
    <d v="2025-09-01T00:00:00"/>
    <d v="2025-12-31T00:00:00"/>
    <n v="1"/>
  </r>
  <r>
    <x v="12"/>
    <m/>
    <m/>
    <m/>
    <m/>
    <m/>
    <n v="0"/>
    <n v="1"/>
    <n v="850"/>
    <s v="HAMPSHIRE"/>
    <s v="Resourced Provision (SLCN) - South View Infant"/>
    <d v="2024-09-01T00:00:00"/>
    <m/>
    <x v="2"/>
    <n v="0"/>
    <d v="2025-09-01T00:00:00"/>
    <d v="2025-12-31T00:00:00"/>
    <n v="1"/>
  </r>
  <r>
    <x v="12"/>
    <m/>
    <m/>
    <m/>
    <m/>
    <m/>
    <n v="-1"/>
    <n v="0"/>
    <n v="850"/>
    <s v="HAMPSHIRE"/>
    <s v="Resourced Provision (SLCN) - South View Infant"/>
    <d v="2025-09-01T00:00:00"/>
    <m/>
    <x v="2"/>
    <n v="0"/>
    <d v="2025-09-01T00:00:00"/>
    <d v="2025-12-31T00:00:00"/>
    <n v="1"/>
  </r>
  <r>
    <x v="12"/>
    <m/>
    <m/>
    <m/>
    <m/>
    <m/>
    <n v="1"/>
    <n v="2"/>
    <n v="850"/>
    <s v="HAMPSHIRE"/>
    <s v="Resourced Provision (SLCN) - South View Infant"/>
    <d v="2025-09-01T00:00:00"/>
    <m/>
    <x v="2"/>
    <n v="0"/>
    <d v="2025-09-01T00:00:00"/>
    <d v="2025-12-31T00:00:00"/>
    <n v="1"/>
  </r>
  <r>
    <x v="13"/>
    <m/>
    <m/>
    <m/>
    <m/>
    <m/>
    <n v="0"/>
    <n v="1"/>
    <n v="850"/>
    <s v="HAMPSHIRE"/>
    <s v="Resourced Provision - Hiltingbury Infant School"/>
    <d v="2024-09-01T00:00:00"/>
    <m/>
    <x v="2"/>
    <n v="0"/>
    <d v="2025-09-01T00:00:00"/>
    <d v="2025-12-31T00:00:00"/>
    <n v="1"/>
  </r>
  <r>
    <x v="13"/>
    <m/>
    <m/>
    <m/>
    <m/>
    <m/>
    <n v="4"/>
    <n v="5"/>
    <n v="850"/>
    <s v="HAMPSHIRE"/>
    <s v="Resourced Provision - Hiltingbury Infant School"/>
    <d v="2023-09-01T00:00:00"/>
    <m/>
    <x v="2"/>
    <n v="0"/>
    <d v="2025-09-01T00:00:00"/>
    <d v="2025-12-31T00:00:00"/>
    <n v="1"/>
  </r>
  <r>
    <x v="13"/>
    <m/>
    <m/>
    <m/>
    <m/>
    <m/>
    <n v="2"/>
    <n v="3"/>
    <n v="850"/>
    <s v="HAMPSHIRE"/>
    <s v="Resourced Provision - Hiltingbury Infant School"/>
    <d v="2022-09-01T00:00:00"/>
    <d v="2025-08-31T00:00:00"/>
    <x v="2"/>
    <n v="0"/>
    <s v=""/>
    <s v=""/>
    <n v="0"/>
  </r>
  <r>
    <x v="13"/>
    <m/>
    <m/>
    <m/>
    <m/>
    <m/>
    <n v="0"/>
    <n v="1"/>
    <n v="850"/>
    <s v="HAMPSHIRE"/>
    <s v="Resourced Provision - Hiltingbury Infant School"/>
    <d v="2023-09-01T00:00:00"/>
    <m/>
    <x v="2"/>
    <n v="0"/>
    <d v="2025-09-01T00:00:00"/>
    <d v="2025-12-31T00:00:00"/>
    <n v="1"/>
  </r>
  <r>
    <x v="13"/>
    <m/>
    <m/>
    <m/>
    <m/>
    <m/>
    <n v="1"/>
    <n v="2"/>
    <n v="850"/>
    <s v="HAMPSHIRE"/>
    <s v="Resourced Provision - Hiltingbury Infant School"/>
    <d v="2023-09-01T00:00:00"/>
    <m/>
    <x v="2"/>
    <n v="0"/>
    <d v="2025-09-01T00:00:00"/>
    <d v="2025-12-31T00:00:00"/>
    <n v="1"/>
  </r>
  <r>
    <x v="13"/>
    <m/>
    <m/>
    <m/>
    <m/>
    <m/>
    <n v="0"/>
    <n v="1"/>
    <n v="850"/>
    <s v="HAMPSHIRE"/>
    <s v="Resourced Provision - Hiltingbury Infant School"/>
    <d v="2022-09-01T00:00:00"/>
    <m/>
    <x v="2"/>
    <n v="0"/>
    <d v="2025-09-01T00:00:00"/>
    <d v="2025-12-31T00:00:00"/>
    <n v="1"/>
  </r>
  <r>
    <x v="13"/>
    <m/>
    <m/>
    <m/>
    <m/>
    <m/>
    <n v="4"/>
    <n v="5"/>
    <n v="850"/>
    <s v="HAMPSHIRE"/>
    <s v="Resourced Provision - Hiltingbury Infant School"/>
    <d v="2020-09-09T00:00:00"/>
    <m/>
    <x v="2"/>
    <n v="0"/>
    <d v="2025-09-01T00:00:00"/>
    <d v="2025-12-31T00:00:00"/>
    <n v="1"/>
  </r>
  <r>
    <x v="13"/>
    <m/>
    <m/>
    <m/>
    <m/>
    <m/>
    <n v="0"/>
    <n v="1"/>
    <n v="850"/>
    <s v="HAMPSHIRE"/>
    <s v="Resourced Provision - Hiltingbury Infant School"/>
    <d v="2024-09-01T00:00:00"/>
    <d v="2025-08-31T00:00:00"/>
    <x v="2"/>
    <n v="0"/>
    <s v=""/>
    <s v=""/>
    <n v="0"/>
  </r>
  <r>
    <x v="13"/>
    <m/>
    <m/>
    <m/>
    <m/>
    <m/>
    <n v="1"/>
    <n v="2"/>
    <n v="850"/>
    <s v="HAMPSHIRE"/>
    <s v="Resourced Provision - Hiltingbury Infant School"/>
    <d v="2023-09-01T00:00:00"/>
    <m/>
    <x v="2"/>
    <n v="0"/>
    <d v="2025-09-01T00:00:00"/>
    <d v="2025-12-31T00:00:00"/>
    <n v="1"/>
  </r>
  <r>
    <x v="13"/>
    <m/>
    <m/>
    <m/>
    <m/>
    <m/>
    <n v="2"/>
    <n v="3"/>
    <n v="850"/>
    <s v="HAMPSHIRE"/>
    <s v="Resourced Provision - Hiltingbury Infant School"/>
    <d v="2022-09-01T00:00:00"/>
    <d v="2025-08-31T00:00:00"/>
    <x v="2"/>
    <n v="0"/>
    <s v=""/>
    <s v=""/>
    <n v="0"/>
  </r>
  <r>
    <x v="14"/>
    <m/>
    <m/>
    <m/>
    <m/>
    <m/>
    <n v="0"/>
    <n v="1"/>
    <n v="850"/>
    <s v="HAMPSHIRE"/>
    <s v="Resourced Provision - Liss Infant School"/>
    <d v="2024-09-01T00:00:00"/>
    <m/>
    <x v="3"/>
    <n v="0"/>
    <d v="2025-09-01T00:00:00"/>
    <d v="2025-12-31T00:00:00"/>
    <n v="1"/>
  </r>
  <r>
    <x v="14"/>
    <m/>
    <m/>
    <m/>
    <m/>
    <m/>
    <n v="2"/>
    <n v="3"/>
    <n v="850"/>
    <s v="HAMPSHIRE"/>
    <s v="Resourced Provision - Liss Infant School"/>
    <d v="2022-09-01T00:00:00"/>
    <m/>
    <x v="3"/>
    <n v="0"/>
    <d v="2025-09-01T00:00:00"/>
    <d v="2025-12-31T00:00:00"/>
    <n v="1"/>
  </r>
  <r>
    <x v="14"/>
    <m/>
    <m/>
    <m/>
    <m/>
    <m/>
    <n v="0"/>
    <n v="1"/>
    <n v="850"/>
    <s v="HAMPSHIRE"/>
    <s v="Resourced Provision - Liss Infant School"/>
    <d v="2024-09-01T00:00:00"/>
    <m/>
    <x v="3"/>
    <n v="0"/>
    <d v="2025-09-01T00:00:00"/>
    <d v="2025-12-31T00:00:00"/>
    <n v="1"/>
  </r>
  <r>
    <x v="14"/>
    <m/>
    <m/>
    <m/>
    <m/>
    <m/>
    <n v="2"/>
    <n v="3"/>
    <n v="850"/>
    <s v="HAMPSHIRE"/>
    <s v="Resourced Provision - Liss Infant School"/>
    <d v="2022-09-01T00:00:00"/>
    <m/>
    <x v="3"/>
    <n v="0"/>
    <d v="2025-09-01T00:00:00"/>
    <d v="2025-12-31T00:00:00"/>
    <n v="1"/>
  </r>
  <r>
    <x v="14"/>
    <m/>
    <m/>
    <m/>
    <m/>
    <m/>
    <n v="2"/>
    <n v="3"/>
    <n v="850"/>
    <s v="HAMPSHIRE"/>
    <s v="Resourced Provision - Liss Infant School"/>
    <d v="2022-09-01T00:00:00"/>
    <m/>
    <x v="3"/>
    <n v="0"/>
    <d v="2025-09-01T00:00:00"/>
    <d v="2025-12-31T00:00:00"/>
    <n v="1"/>
  </r>
  <r>
    <x v="14"/>
    <m/>
    <m/>
    <m/>
    <m/>
    <m/>
    <n v="1"/>
    <n v="2"/>
    <n v="850"/>
    <s v="HAMPSHIRE"/>
    <s v="Resourced Provision - Liss Infant School"/>
    <d v="2023-09-01T00:00:00"/>
    <m/>
    <x v="3"/>
    <n v="0"/>
    <d v="2025-09-01T00:00:00"/>
    <d v="2025-12-31T00:00:00"/>
    <n v="1"/>
  </r>
  <r>
    <x v="14"/>
    <m/>
    <m/>
    <m/>
    <m/>
    <m/>
    <n v="1"/>
    <n v="2"/>
    <n v="850"/>
    <s v="HAMPSHIRE"/>
    <s v="Resourced Provision - Liss Infant School"/>
    <d v="2023-09-01T00:00:00"/>
    <m/>
    <x v="3"/>
    <n v="0"/>
    <d v="2025-09-01T00:00:00"/>
    <d v="2025-12-31T00:00:00"/>
    <n v="1"/>
  </r>
  <r>
    <x v="15"/>
    <m/>
    <m/>
    <m/>
    <m/>
    <m/>
    <n v="1"/>
    <n v="2"/>
    <n v="850"/>
    <s v="HAMPSHIRE"/>
    <s v="Resourced Provision - Kings Copse Primary School"/>
    <d v="2025-09-01T00:00:00"/>
    <m/>
    <x v="1"/>
    <s v="VI"/>
    <d v="2025-09-01T00:00:00"/>
    <d v="2025-12-31T00:00:00"/>
    <n v="1"/>
  </r>
  <r>
    <x v="15"/>
    <m/>
    <m/>
    <m/>
    <m/>
    <m/>
    <n v="5"/>
    <n v="6"/>
    <n v="850"/>
    <s v="HAMPSHIRE"/>
    <s v="Resourced Provision - Kings Copse Primary School"/>
    <d v="2019-09-11T00:00:00"/>
    <m/>
    <x v="1"/>
    <s v="VI"/>
    <d v="2025-09-01T00:00:00"/>
    <d v="2025-12-31T00:00:00"/>
    <n v="1"/>
  </r>
  <r>
    <x v="15"/>
    <m/>
    <m/>
    <m/>
    <m/>
    <m/>
    <n v="2"/>
    <n v="3"/>
    <n v="850"/>
    <s v="HAMPSHIRE"/>
    <s v="Resourced Provision - Kings Copse Primary School"/>
    <d v="2022-09-01T00:00:00"/>
    <m/>
    <x v="1"/>
    <n v="0"/>
    <d v="2025-09-01T00:00:00"/>
    <d v="2025-12-31T00:00:00"/>
    <n v="1"/>
  </r>
  <r>
    <x v="15"/>
    <m/>
    <m/>
    <m/>
    <m/>
    <m/>
    <n v="3"/>
    <n v="4"/>
    <n v="850"/>
    <s v="HAMPSHIRE"/>
    <s v="Resourced Provision - Kings Copse Primary School"/>
    <d v="2025-09-01T00:00:00"/>
    <m/>
    <x v="1"/>
    <s v="VI"/>
    <d v="2025-09-01T00:00:00"/>
    <d v="2025-12-31T00:00:00"/>
    <n v="1"/>
  </r>
  <r>
    <x v="15"/>
    <m/>
    <m/>
    <m/>
    <m/>
    <m/>
    <n v="-1"/>
    <n v="0"/>
    <n v="850"/>
    <s v="HAMPSHIRE"/>
    <s v="Resourced Provision - Kings Copse Primary School"/>
    <d v="2025-09-01T00:00:00"/>
    <m/>
    <x v="1"/>
    <n v="0"/>
    <d v="2025-09-01T00:00:00"/>
    <d v="2025-12-31T00:00:00"/>
    <n v="1"/>
  </r>
  <r>
    <x v="15"/>
    <m/>
    <m/>
    <m/>
    <m/>
    <m/>
    <n v="5"/>
    <n v="6"/>
    <n v="850"/>
    <s v="HAMPSHIRE"/>
    <s v="Resourced Provision - Kings Copse Primary School"/>
    <d v="2019-09-11T00:00:00"/>
    <m/>
    <x v="1"/>
    <s v="VI"/>
    <d v="2025-09-01T00:00:00"/>
    <d v="2025-12-31T00:00:00"/>
    <n v="1"/>
  </r>
  <r>
    <x v="15"/>
    <m/>
    <m/>
    <m/>
    <m/>
    <m/>
    <n v="0"/>
    <n v="1"/>
    <n v="850"/>
    <s v="HAMPSHIRE"/>
    <s v="Resourced Provision - Kings Copse Primary School"/>
    <d v="2024-09-01T00:00:00"/>
    <m/>
    <x v="1"/>
    <n v="0"/>
    <d v="2025-09-01T00:00:00"/>
    <d v="2025-12-31T00:00:00"/>
    <n v="1"/>
  </r>
  <r>
    <x v="15"/>
    <m/>
    <m/>
    <m/>
    <m/>
    <m/>
    <n v="0"/>
    <n v="1"/>
    <n v="850"/>
    <s v="HAMPSHIRE"/>
    <s v="Resourced Provision - Kings Copse Primary School"/>
    <d v="2024-09-01T00:00:00"/>
    <m/>
    <x v="1"/>
    <s v="VI"/>
    <d v="2025-09-01T00:00:00"/>
    <d v="2025-12-31T00:00:00"/>
    <n v="1"/>
  </r>
  <r>
    <x v="16"/>
    <m/>
    <m/>
    <m/>
    <m/>
    <m/>
    <n v="5"/>
    <n v="6"/>
    <n v="850"/>
    <s v="HAMPSHIRE"/>
    <s v="Resourced Provision - Shakespeare Junior School"/>
    <d v="2022-09-01T00:00:00"/>
    <m/>
    <x v="3"/>
    <n v="0"/>
    <d v="2025-09-01T00:00:00"/>
    <d v="2025-12-31T00:00:00"/>
    <n v="1"/>
  </r>
  <r>
    <x v="16"/>
    <m/>
    <m/>
    <m/>
    <m/>
    <m/>
    <n v="2"/>
    <n v="3"/>
    <n v="850"/>
    <s v="HAMPSHIRE"/>
    <s v="Resourced Provision - Shakespeare Junior School"/>
    <d v="2025-09-01T00:00:00"/>
    <m/>
    <x v="3"/>
    <n v="0"/>
    <d v="2025-09-01T00:00:00"/>
    <d v="2025-12-31T00:00:00"/>
    <n v="1"/>
  </r>
  <r>
    <x v="16"/>
    <m/>
    <m/>
    <m/>
    <m/>
    <m/>
    <n v="6"/>
    <n v="7"/>
    <n v="850"/>
    <s v="HAMPSHIRE"/>
    <s v="Resourced Provision - Shakespeare Junior School"/>
    <d v="2023-03-20T00:00:00"/>
    <d v="2025-08-31T00:00:00"/>
    <x v="3"/>
    <n v="0"/>
    <s v=""/>
    <s v=""/>
    <n v="0"/>
  </r>
  <r>
    <x v="16"/>
    <m/>
    <m/>
    <m/>
    <m/>
    <m/>
    <n v="6"/>
    <n v="7"/>
    <n v="850"/>
    <s v="HAMPSHIRE"/>
    <s v="Resourced Provision - Shakespeare Junior School"/>
    <d v="2022-03-01T00:00:00"/>
    <d v="2025-08-31T00:00:00"/>
    <x v="3"/>
    <n v="0"/>
    <s v=""/>
    <s v=""/>
    <n v="0"/>
  </r>
  <r>
    <x v="16"/>
    <m/>
    <m/>
    <m/>
    <m/>
    <m/>
    <n v="6"/>
    <n v="7"/>
    <n v="850"/>
    <s v="HAMPSHIRE"/>
    <s v="Resourced Provision - Shakespeare Junior School"/>
    <d v="2021-09-01T00:00:00"/>
    <d v="2025-08-31T00:00:00"/>
    <x v="3"/>
    <n v="0"/>
    <s v=""/>
    <s v=""/>
    <n v="0"/>
  </r>
  <r>
    <x v="16"/>
    <m/>
    <m/>
    <m/>
    <m/>
    <m/>
    <n v="5"/>
    <n v="6"/>
    <n v="850"/>
    <s v="HAMPSHIRE"/>
    <s v="Resourced Provision - Shakespeare Junior School"/>
    <d v="2022-09-01T00:00:00"/>
    <m/>
    <x v="3"/>
    <n v="0"/>
    <d v="2025-09-01T00:00:00"/>
    <d v="2025-12-31T00:00:00"/>
    <n v="1"/>
  </r>
  <r>
    <x v="16"/>
    <m/>
    <m/>
    <m/>
    <m/>
    <m/>
    <n v="4"/>
    <n v="5"/>
    <n v="850"/>
    <s v="HAMPSHIRE"/>
    <s v="Resourced Provision - Shakespeare Junior School"/>
    <d v="2023-09-01T00:00:00"/>
    <m/>
    <x v="3"/>
    <n v="0"/>
    <d v="2025-09-01T00:00:00"/>
    <d v="2025-12-31T00:00:00"/>
    <n v="1"/>
  </r>
  <r>
    <x v="16"/>
    <m/>
    <m/>
    <m/>
    <m/>
    <m/>
    <n v="4"/>
    <n v="5"/>
    <n v="850"/>
    <s v="HAMPSHIRE"/>
    <s v="Resourced Provision - Shakespeare Junior School"/>
    <d v="2023-09-01T00:00:00"/>
    <m/>
    <x v="3"/>
    <n v="0"/>
    <d v="2025-09-01T00:00:00"/>
    <d v="2025-12-31T00:00:00"/>
    <n v="1"/>
  </r>
  <r>
    <x v="16"/>
    <m/>
    <m/>
    <m/>
    <m/>
    <m/>
    <n v="4"/>
    <n v="5"/>
    <n v="850"/>
    <s v="HAMPSHIRE"/>
    <s v="Resourced Provision - Shakespeare Junior School"/>
    <d v="2025-09-01T00:00:00"/>
    <m/>
    <x v="3"/>
    <n v="0"/>
    <d v="2025-09-01T00:00:00"/>
    <d v="2025-12-31T00:00:00"/>
    <n v="1"/>
  </r>
  <r>
    <x v="16"/>
    <m/>
    <m/>
    <m/>
    <m/>
    <m/>
    <n v="2"/>
    <n v="3"/>
    <n v="850"/>
    <s v="HAMPSHIRE"/>
    <s v="Resourced Provision - Shakespeare Junior School"/>
    <d v="2025-09-01T00:00:00"/>
    <m/>
    <x v="3"/>
    <n v="0"/>
    <d v="2025-09-01T00:00:00"/>
    <d v="2025-12-31T00:00:00"/>
    <n v="1"/>
  </r>
  <r>
    <x v="16"/>
    <m/>
    <m/>
    <m/>
    <m/>
    <m/>
    <n v="5"/>
    <n v="6"/>
    <n v="850"/>
    <s v="HAMPSHIRE"/>
    <s v="Resourced Provision - Shakespeare Junior School"/>
    <d v="2022-09-01T00:00:00"/>
    <m/>
    <x v="3"/>
    <n v="0"/>
    <d v="2025-09-01T00:00:00"/>
    <d v="2025-12-31T00:00:00"/>
    <n v="1"/>
  </r>
  <r>
    <x v="16"/>
    <m/>
    <m/>
    <m/>
    <m/>
    <m/>
    <n v="3"/>
    <n v="4"/>
    <n v="850"/>
    <s v="HAMPSHIRE"/>
    <s v="Resourced Provision - Shakespeare Junior School"/>
    <d v="2024-09-01T00:00:00"/>
    <m/>
    <x v="3"/>
    <n v="0"/>
    <d v="2025-09-01T00:00:00"/>
    <d v="2025-12-31T00:00:00"/>
    <n v="1"/>
  </r>
  <r>
    <x v="16"/>
    <m/>
    <m/>
    <m/>
    <m/>
    <m/>
    <n v="4"/>
    <n v="5"/>
    <n v="850"/>
    <s v="HAMPSHIRE"/>
    <s v="Resourced Provision - Shakespeare Junior School"/>
    <d v="2023-09-01T00:00:00"/>
    <m/>
    <x v="3"/>
    <n v="0"/>
    <d v="2025-09-01T00:00:00"/>
    <d v="2025-12-31T00:00:00"/>
    <n v="1"/>
  </r>
  <r>
    <x v="17"/>
    <m/>
    <m/>
    <m/>
    <m/>
    <m/>
    <n v="-1"/>
    <n v="0"/>
    <n v="850"/>
    <s v="HAMPSHIRE"/>
    <s v="Resourced Provision - Manor Junior School"/>
    <d v="2025-09-01T00:00:00"/>
    <m/>
    <x v="6"/>
    <s v="HI"/>
    <d v="2025-09-01T00:00:00"/>
    <d v="2025-12-31T00:00:00"/>
    <n v="1"/>
  </r>
  <r>
    <x v="17"/>
    <m/>
    <m/>
    <m/>
    <m/>
    <m/>
    <n v="2"/>
    <n v="3"/>
    <n v="850"/>
    <s v="HAMPSHIRE"/>
    <s v="Resourced Provision - Manor Junior School"/>
    <d v="2025-09-01T00:00:00"/>
    <m/>
    <x v="6"/>
    <s v="HI"/>
    <d v="2025-09-01T00:00:00"/>
    <d v="2025-12-31T00:00:00"/>
    <n v="1"/>
  </r>
  <r>
    <x v="17"/>
    <m/>
    <m/>
    <m/>
    <m/>
    <m/>
    <n v="5"/>
    <n v="6"/>
    <n v="850"/>
    <s v="HAMPSHIRE"/>
    <s v="Resourced Provision - Manor Junior School"/>
    <d v="2022-09-01T00:00:00"/>
    <m/>
    <x v="6"/>
    <s v="HI"/>
    <d v="2025-09-01T00:00:00"/>
    <d v="2025-12-31T00:00:00"/>
    <n v="1"/>
  </r>
  <r>
    <x v="18"/>
    <m/>
    <m/>
    <m/>
    <m/>
    <m/>
    <n v="5"/>
    <n v="6"/>
    <n v="850"/>
    <s v="HAMPSHIRE"/>
    <s v="Resourced Provision - South Farnborough Junior"/>
    <d v="2024-09-01T00:00:00"/>
    <m/>
    <x v="3"/>
    <n v="0"/>
    <d v="2025-09-01T00:00:00"/>
    <d v="2025-12-31T00:00:00"/>
    <n v="1"/>
  </r>
  <r>
    <x v="18"/>
    <m/>
    <m/>
    <m/>
    <m/>
    <m/>
    <n v="3"/>
    <n v="4"/>
    <n v="850"/>
    <s v="HAMPSHIRE"/>
    <s v="Resourced Provision - South Farnborough Junior"/>
    <d v="2024-09-01T00:00:00"/>
    <m/>
    <x v="3"/>
    <n v="0"/>
    <d v="2025-09-01T00:00:00"/>
    <d v="2025-12-31T00:00:00"/>
    <n v="1"/>
  </r>
  <r>
    <x v="18"/>
    <m/>
    <m/>
    <m/>
    <m/>
    <m/>
    <n v="5"/>
    <n v="6"/>
    <n v="850"/>
    <s v="HAMPSHIRE"/>
    <s v="Resourced Provision - South Farnborough Junior"/>
    <d v="2025-01-28T00:00:00"/>
    <m/>
    <x v="3"/>
    <n v="0"/>
    <d v="2025-09-01T00:00:00"/>
    <d v="2025-12-31T00:00:00"/>
    <n v="1"/>
  </r>
  <r>
    <x v="18"/>
    <m/>
    <m/>
    <m/>
    <m/>
    <m/>
    <n v="2"/>
    <n v="3"/>
    <n v="850"/>
    <s v="HAMPSHIRE"/>
    <s v="Resourced Provision - South Farnborough Junior"/>
    <d v="2025-09-01T00:00:00"/>
    <m/>
    <x v="3"/>
    <n v="0"/>
    <d v="2025-09-01T00:00:00"/>
    <d v="2025-12-31T00:00:00"/>
    <n v="1"/>
  </r>
  <r>
    <x v="18"/>
    <m/>
    <m/>
    <m/>
    <m/>
    <m/>
    <n v="3"/>
    <n v="4"/>
    <n v="850"/>
    <s v="HAMPSHIRE"/>
    <s v="Resourced Provision - South Farnborough Junior"/>
    <d v="2024-09-01T00:00:00"/>
    <m/>
    <x v="3"/>
    <n v="0"/>
    <d v="2025-09-01T00:00:00"/>
    <d v="2025-12-31T00:00:00"/>
    <n v="1"/>
  </r>
  <r>
    <x v="18"/>
    <m/>
    <m/>
    <m/>
    <m/>
    <m/>
    <n v="6"/>
    <n v="7"/>
    <n v="850"/>
    <s v="HAMPSHIRE"/>
    <s v="Resourced Provision - South Farnborough Junior"/>
    <d v="2021-09-01T00:00:00"/>
    <d v="2025-08-31T00:00:00"/>
    <x v="3"/>
    <n v="0"/>
    <s v=""/>
    <s v=""/>
    <n v="0"/>
  </r>
  <r>
    <x v="18"/>
    <m/>
    <m/>
    <m/>
    <m/>
    <m/>
    <n v="4"/>
    <n v="5"/>
    <n v="850"/>
    <s v="HAMPSHIRE"/>
    <s v="Resourced Provision - South Farnborough Junior"/>
    <d v="2023-09-01T00:00:00"/>
    <m/>
    <x v="3"/>
    <n v="0"/>
    <d v="2025-09-01T00:00:00"/>
    <d v="2025-12-31T00:00:00"/>
    <n v="1"/>
  </r>
  <r>
    <x v="18"/>
    <m/>
    <m/>
    <m/>
    <m/>
    <m/>
    <n v="5"/>
    <n v="6"/>
    <n v="850"/>
    <s v="HAMPSHIRE"/>
    <s v="Resourced Provision - South Farnborough Junior"/>
    <d v="2022-09-01T00:00:00"/>
    <m/>
    <x v="3"/>
    <n v="0"/>
    <d v="2025-09-01T00:00:00"/>
    <d v="2025-12-31T00:00:00"/>
    <n v="1"/>
  </r>
  <r>
    <x v="18"/>
    <m/>
    <m/>
    <m/>
    <m/>
    <m/>
    <n v="3"/>
    <n v="4"/>
    <n v="850"/>
    <s v="HAMPSHIRE"/>
    <s v="Resourced Provision - South Farnborough Junior"/>
    <d v="2024-09-01T00:00:00"/>
    <m/>
    <x v="3"/>
    <n v="0"/>
    <d v="2025-09-01T00:00:00"/>
    <d v="2025-12-31T00:00:00"/>
    <n v="1"/>
  </r>
  <r>
    <x v="18"/>
    <m/>
    <m/>
    <m/>
    <m/>
    <m/>
    <n v="3"/>
    <n v="4"/>
    <n v="850"/>
    <s v="HAMPSHIRE"/>
    <s v="Resourced Provision - South Farnborough Junior"/>
    <d v="2024-09-01T00:00:00"/>
    <m/>
    <x v="3"/>
    <n v="0"/>
    <d v="2025-09-01T00:00:00"/>
    <d v="2025-12-31T00:00:00"/>
    <n v="1"/>
  </r>
  <r>
    <x v="18"/>
    <m/>
    <m/>
    <m/>
    <m/>
    <m/>
    <n v="4"/>
    <n v="5"/>
    <n v="850"/>
    <s v="HAMPSHIRE"/>
    <s v="Resourced Provision - South Farnborough Junior"/>
    <d v="2023-09-01T00:00:00"/>
    <m/>
    <x v="3"/>
    <n v="0"/>
    <d v="2025-09-01T00:00:00"/>
    <d v="2025-12-31T00:00:00"/>
    <n v="1"/>
  </r>
  <r>
    <x v="18"/>
    <m/>
    <m/>
    <m/>
    <m/>
    <m/>
    <n v="4"/>
    <n v="5"/>
    <n v="850"/>
    <s v="HAMPSHIRE"/>
    <s v="Resourced Provision - South Farnborough Junior"/>
    <d v="2023-09-01T00:00:00"/>
    <m/>
    <x v="3"/>
    <n v="0"/>
    <d v="2025-09-01T00:00:00"/>
    <d v="2025-12-31T00:00:00"/>
    <n v="1"/>
  </r>
  <r>
    <x v="18"/>
    <m/>
    <m/>
    <m/>
    <m/>
    <m/>
    <n v="4"/>
    <n v="5"/>
    <n v="850"/>
    <s v="HAMPSHIRE"/>
    <s v="Resourced Provision - South Farnborough Junior"/>
    <d v="2023-09-01T00:00:00"/>
    <m/>
    <x v="3"/>
    <n v="0"/>
    <d v="2025-09-01T00:00:00"/>
    <d v="2025-12-31T00:00:00"/>
    <n v="1"/>
  </r>
  <r>
    <x v="18"/>
    <m/>
    <m/>
    <m/>
    <m/>
    <m/>
    <n v="3"/>
    <n v="4"/>
    <n v="850"/>
    <s v="HAMPSHIRE"/>
    <s v="Resourced Provision - South Farnborough Junior"/>
    <d v="2024-09-01T00:00:00"/>
    <m/>
    <x v="3"/>
    <n v="0"/>
    <d v="2025-09-01T00:00:00"/>
    <d v="2025-12-31T00:00:00"/>
    <n v="1"/>
  </r>
  <r>
    <x v="18"/>
    <m/>
    <m/>
    <m/>
    <m/>
    <m/>
    <n v="4"/>
    <n v="5"/>
    <n v="850"/>
    <s v="HAMPSHIRE"/>
    <s v="Resourced Provision - South Farnborough Junior"/>
    <d v="2024-03-25T00:00:00"/>
    <m/>
    <x v="3"/>
    <n v="0"/>
    <d v="2025-09-01T00:00:00"/>
    <d v="2025-12-31T00:00:00"/>
    <n v="1"/>
  </r>
  <r>
    <x v="18"/>
    <m/>
    <m/>
    <m/>
    <m/>
    <m/>
    <n v="5"/>
    <n v="6"/>
    <n v="850"/>
    <s v="HAMPSHIRE"/>
    <s v="Resourced Provision - South Farnborough Junior"/>
    <d v="2022-09-01T00:00:00"/>
    <m/>
    <x v="3"/>
    <n v="0"/>
    <d v="2025-09-01T00:00:00"/>
    <d v="2025-12-31T00:00:00"/>
    <n v="1"/>
  </r>
  <r>
    <x v="18"/>
    <m/>
    <m/>
    <m/>
    <m/>
    <m/>
    <n v="5"/>
    <n v="6"/>
    <n v="850"/>
    <s v="HAMPSHIRE"/>
    <s v="Resourced Provision - South Farnborough Junior"/>
    <d v="2022-10-01T00:00:00"/>
    <m/>
    <x v="3"/>
    <n v="0"/>
    <d v="2025-09-01T00:00:00"/>
    <d v="2025-12-31T00:00:00"/>
    <n v="1"/>
  </r>
  <r>
    <x v="18"/>
    <m/>
    <m/>
    <m/>
    <m/>
    <m/>
    <n v="6"/>
    <n v="7"/>
    <n v="850"/>
    <s v="HAMPSHIRE"/>
    <s v="Resourced Provision - South Farnborough Junior"/>
    <d v="2024-09-01T00:00:00"/>
    <d v="2025-08-31T00:00:00"/>
    <x v="3"/>
    <n v="0"/>
    <s v=""/>
    <s v=""/>
    <n v="0"/>
  </r>
  <r>
    <x v="18"/>
    <m/>
    <m/>
    <m/>
    <m/>
    <m/>
    <n v="3"/>
    <n v="4"/>
    <n v="850"/>
    <s v="HAMPSHIRE"/>
    <s v="Resourced Provision - South Farnborough Junior"/>
    <d v="2024-09-01T00:00:00"/>
    <m/>
    <x v="3"/>
    <n v="0"/>
    <d v="2025-09-01T00:00:00"/>
    <d v="2025-12-31T00:00:00"/>
    <n v="1"/>
  </r>
  <r>
    <x v="18"/>
    <m/>
    <m/>
    <m/>
    <m/>
    <m/>
    <n v="4"/>
    <n v="5"/>
    <n v="850"/>
    <s v="HAMPSHIRE"/>
    <s v="Resourced Provision - South Farnborough Junior"/>
    <d v="2023-09-01T00:00:00"/>
    <m/>
    <x v="3"/>
    <n v="0"/>
    <d v="2025-09-01T00:00:00"/>
    <d v="2025-12-31T00:00:00"/>
    <n v="1"/>
  </r>
  <r>
    <x v="18"/>
    <m/>
    <m/>
    <m/>
    <m/>
    <m/>
    <n v="3"/>
    <n v="4"/>
    <n v="850"/>
    <s v="HAMPSHIRE"/>
    <s v="Resourced Provision - South Farnborough Junior"/>
    <d v="2024-09-01T00:00:00"/>
    <m/>
    <x v="3"/>
    <n v="0"/>
    <d v="2025-09-01T00:00:00"/>
    <d v="2025-12-31T00:00:00"/>
    <n v="1"/>
  </r>
  <r>
    <x v="18"/>
    <m/>
    <m/>
    <m/>
    <m/>
    <m/>
    <n v="6"/>
    <n v="7"/>
    <n v="850"/>
    <s v="HAMPSHIRE"/>
    <s v="Resourced Provision - South Farnborough Junior"/>
    <d v="2023-01-01T00:00:00"/>
    <d v="2025-08-31T00:00:00"/>
    <x v="3"/>
    <n v="0"/>
    <s v=""/>
    <s v=""/>
    <n v="0"/>
  </r>
  <r>
    <x v="19"/>
    <m/>
    <m/>
    <m/>
    <m/>
    <m/>
    <n v="6"/>
    <n v="7"/>
    <n v="850"/>
    <s v="HAMPSHIRE"/>
    <s v="Resourced Provision - Guillemont Junior School"/>
    <d v="2021-09-01T00:00:00"/>
    <d v="2025-08-31T00:00:00"/>
    <x v="2"/>
    <n v="0"/>
    <s v=""/>
    <s v=""/>
    <n v="0"/>
  </r>
  <r>
    <x v="19"/>
    <m/>
    <m/>
    <m/>
    <m/>
    <m/>
    <n v="5"/>
    <n v="6"/>
    <n v="850"/>
    <s v="HAMPSHIRE"/>
    <s v="Resourced Provision - Guillemont Junior School"/>
    <d v="2024-09-01T00:00:00"/>
    <m/>
    <x v="2"/>
    <n v="0"/>
    <d v="2025-09-01T00:00:00"/>
    <d v="2025-12-31T00:00:00"/>
    <n v="1"/>
  </r>
  <r>
    <x v="19"/>
    <m/>
    <m/>
    <m/>
    <m/>
    <m/>
    <n v="3"/>
    <n v="4"/>
    <n v="850"/>
    <s v="HAMPSHIRE"/>
    <s v="Resourced Provision - Guillemont Junior School"/>
    <d v="2024-09-01T00:00:00"/>
    <m/>
    <x v="2"/>
    <n v="0"/>
    <d v="2025-09-01T00:00:00"/>
    <d v="2025-12-31T00:00:00"/>
    <n v="1"/>
  </r>
  <r>
    <x v="19"/>
    <m/>
    <m/>
    <m/>
    <m/>
    <m/>
    <n v="4"/>
    <n v="5"/>
    <n v="850"/>
    <s v="HAMPSHIRE"/>
    <s v="Resourced Provision - Guillemont Junior School"/>
    <d v="2023-09-01T00:00:00"/>
    <d v="2025-08-31T00:00:00"/>
    <x v="2"/>
    <n v="0"/>
    <s v=""/>
    <s v=""/>
    <n v="0"/>
  </r>
  <r>
    <x v="19"/>
    <m/>
    <m/>
    <m/>
    <m/>
    <m/>
    <n v="3"/>
    <n v="4"/>
    <n v="850"/>
    <s v="HAMPSHIRE"/>
    <s v="Resourced Provision - Guillemont Junior School"/>
    <d v="2024-09-01T00:00:00"/>
    <m/>
    <x v="4"/>
    <n v="0"/>
    <d v="2025-09-01T00:00:00"/>
    <d v="2025-12-31T00:00:00"/>
    <n v="1"/>
  </r>
  <r>
    <x v="19"/>
    <m/>
    <m/>
    <m/>
    <m/>
    <m/>
    <n v="6"/>
    <n v="7"/>
    <n v="850"/>
    <s v="HAMPSHIRE"/>
    <s v="Resourced Provision - Guillemont Junior School"/>
    <d v="2021-09-01T00:00:00"/>
    <d v="2025-08-31T00:00:00"/>
    <x v="2"/>
    <n v="0"/>
    <s v=""/>
    <s v=""/>
    <n v="0"/>
  </r>
  <r>
    <x v="19"/>
    <m/>
    <m/>
    <m/>
    <m/>
    <m/>
    <n v="5"/>
    <n v="6"/>
    <n v="850"/>
    <s v="HAMPSHIRE"/>
    <s v="Resourced Provision - Guillemont Junior School"/>
    <d v="2022-09-01T00:00:00"/>
    <m/>
    <x v="2"/>
    <n v="0"/>
    <d v="2025-09-01T00:00:00"/>
    <d v="2025-12-31T00:00:00"/>
    <n v="1"/>
  </r>
  <r>
    <x v="19"/>
    <m/>
    <m/>
    <m/>
    <m/>
    <m/>
    <n v="5"/>
    <n v="6"/>
    <n v="850"/>
    <s v="HAMPSHIRE"/>
    <s v="Resourced Provision - Guillemont Junior School"/>
    <d v="2022-09-01T00:00:00"/>
    <m/>
    <x v="2"/>
    <n v="0"/>
    <d v="2025-09-01T00:00:00"/>
    <d v="2025-12-31T00:00:00"/>
    <n v="1"/>
  </r>
  <r>
    <x v="19"/>
    <m/>
    <m/>
    <m/>
    <m/>
    <m/>
    <n v="4"/>
    <n v="5"/>
    <n v="850"/>
    <s v="HAMPSHIRE"/>
    <s v="Resourced Provision - Guillemont Junior School"/>
    <d v="2024-09-01T00:00:00"/>
    <m/>
    <x v="2"/>
    <n v="0"/>
    <d v="2025-09-01T00:00:00"/>
    <d v="2025-12-31T00:00:00"/>
    <n v="1"/>
  </r>
  <r>
    <x v="19"/>
    <m/>
    <m/>
    <m/>
    <m/>
    <m/>
    <n v="5"/>
    <n v="6"/>
    <n v="850"/>
    <s v="HAMPSHIRE"/>
    <s v="Resourced Provision - Guillemont Junior School"/>
    <d v="2022-09-01T00:00:00"/>
    <m/>
    <x v="2"/>
    <n v="0"/>
    <d v="2025-09-01T00:00:00"/>
    <d v="2025-12-31T00:00:00"/>
    <n v="1"/>
  </r>
  <r>
    <x v="19"/>
    <m/>
    <m/>
    <m/>
    <m/>
    <m/>
    <n v="4"/>
    <n v="5"/>
    <n v="850"/>
    <s v="HAMPSHIRE"/>
    <s v="Resourced Provision - Guillemont Junior School"/>
    <d v="2023-09-01T00:00:00"/>
    <m/>
    <x v="2"/>
    <n v="0"/>
    <d v="2025-09-01T00:00:00"/>
    <d v="2025-12-31T00:00:00"/>
    <n v="1"/>
  </r>
  <r>
    <x v="19"/>
    <m/>
    <m/>
    <m/>
    <m/>
    <m/>
    <n v="6"/>
    <n v="7"/>
    <n v="850"/>
    <s v="HAMPSHIRE"/>
    <s v="Resourced Provision - Guillemont Junior School"/>
    <d v="2021-09-01T00:00:00"/>
    <d v="2025-08-31T00:00:00"/>
    <x v="2"/>
    <n v="0"/>
    <s v=""/>
    <s v=""/>
    <n v="0"/>
  </r>
  <r>
    <x v="19"/>
    <m/>
    <m/>
    <m/>
    <m/>
    <m/>
    <n v="4"/>
    <n v="5"/>
    <n v="850"/>
    <s v="HAMPSHIRE"/>
    <s v="Resourced Provision - Guillemont Junior School"/>
    <d v="2024-09-01T00:00:00"/>
    <m/>
    <x v="4"/>
    <n v="0"/>
    <d v="2025-09-01T00:00:00"/>
    <d v="2025-12-31T00:00:00"/>
    <n v="1"/>
  </r>
  <r>
    <x v="19"/>
    <m/>
    <m/>
    <m/>
    <m/>
    <m/>
    <n v="6"/>
    <n v="7"/>
    <n v="850"/>
    <s v="HAMPSHIRE"/>
    <s v="Resourced Provision - Guillemont Junior School"/>
    <d v="2021-09-01T00:00:00"/>
    <d v="2025-08-31T00:00:00"/>
    <x v="2"/>
    <n v="0"/>
    <s v=""/>
    <s v=""/>
    <n v="0"/>
  </r>
  <r>
    <x v="19"/>
    <m/>
    <m/>
    <m/>
    <m/>
    <m/>
    <n v="4"/>
    <n v="5"/>
    <n v="850"/>
    <s v="HAMPSHIRE"/>
    <s v="Resourced Provision - Guillemont Junior School"/>
    <d v="2024-09-01T00:00:00"/>
    <m/>
    <x v="4"/>
    <n v="0"/>
    <d v="2025-09-01T00:00:00"/>
    <d v="2025-12-31T00:00:00"/>
    <n v="1"/>
  </r>
  <r>
    <x v="19"/>
    <m/>
    <m/>
    <m/>
    <m/>
    <m/>
    <n v="4"/>
    <n v="5"/>
    <n v="850"/>
    <s v="HAMPSHIRE"/>
    <s v="Resourced Provision - Guillemont Junior School"/>
    <d v="2023-09-01T00:00:00"/>
    <m/>
    <x v="2"/>
    <n v="0"/>
    <d v="2025-09-01T00:00:00"/>
    <d v="2025-12-31T00:00:00"/>
    <n v="1"/>
  </r>
  <r>
    <x v="19"/>
    <m/>
    <m/>
    <m/>
    <m/>
    <m/>
    <n v="2"/>
    <n v="3"/>
    <n v="850"/>
    <s v="HAMPSHIRE"/>
    <s v="Resourced Provision - Guillemont Junior School"/>
    <d v="2025-04-29T00:00:00"/>
    <m/>
    <x v="4"/>
    <n v="0"/>
    <d v="2025-09-01T00:00:00"/>
    <d v="2025-12-31T00:00:00"/>
    <n v="1"/>
  </r>
  <r>
    <x v="19"/>
    <m/>
    <m/>
    <m/>
    <m/>
    <m/>
    <n v="6"/>
    <n v="7"/>
    <n v="850"/>
    <s v="HAMPSHIRE"/>
    <s v="Resourced Provision - Guillemont Junior School"/>
    <d v="2024-09-01T00:00:00"/>
    <d v="2025-08-31T00:00:00"/>
    <x v="2"/>
    <n v="0"/>
    <s v=""/>
    <s v=""/>
    <n v="0"/>
  </r>
  <r>
    <x v="19"/>
    <m/>
    <m/>
    <m/>
    <m/>
    <m/>
    <n v="6"/>
    <n v="7"/>
    <n v="850"/>
    <s v="HAMPSHIRE"/>
    <s v="Resourced Provision - Guillemont Junior School"/>
    <d v="2021-09-01T00:00:00"/>
    <d v="2025-08-31T00:00:00"/>
    <x v="2"/>
    <n v="0"/>
    <s v=""/>
    <s v=""/>
    <n v="0"/>
  </r>
  <r>
    <x v="19"/>
    <m/>
    <m/>
    <m/>
    <m/>
    <m/>
    <n v="3"/>
    <n v="4"/>
    <n v="850"/>
    <s v="HAMPSHIRE"/>
    <s v="Resourced Provision - Guillemont Junior School"/>
    <d v="2024-09-01T00:00:00"/>
    <m/>
    <x v="2"/>
    <n v="0"/>
    <d v="2025-09-01T00:00:00"/>
    <d v="2025-12-31T00:00:00"/>
    <n v="1"/>
  </r>
  <r>
    <x v="19"/>
    <m/>
    <m/>
    <m/>
    <m/>
    <m/>
    <n v="6"/>
    <n v="7"/>
    <n v="850"/>
    <s v="HAMPSHIRE"/>
    <s v="Resourced Provision - Guillemont Junior School"/>
    <d v="2021-09-01T00:00:00"/>
    <d v="2025-08-31T00:00:00"/>
    <x v="2"/>
    <n v="0"/>
    <s v=""/>
    <s v=""/>
    <n v="0"/>
  </r>
  <r>
    <x v="19"/>
    <m/>
    <m/>
    <m/>
    <m/>
    <m/>
    <n v="3"/>
    <n v="4"/>
    <n v="850"/>
    <s v="HAMPSHIRE"/>
    <s v="Resourced Provision - Guillemont Junior School"/>
    <d v="2024-09-01T00:00:00"/>
    <m/>
    <x v="4"/>
    <n v="0"/>
    <d v="2025-09-01T00:00:00"/>
    <d v="2025-12-31T00:00:00"/>
    <n v="1"/>
  </r>
  <r>
    <x v="20"/>
    <m/>
    <m/>
    <m/>
    <m/>
    <m/>
    <n v="1"/>
    <n v="2"/>
    <n v="850"/>
    <s v="HAMPSHIRE"/>
    <s v="Resourced Provision (SLCN) - Pinewood Infant School"/>
    <d v="2024-09-01T00:00:00"/>
    <m/>
    <x v="4"/>
    <n v="0"/>
    <d v="2025-09-01T00:00:00"/>
    <d v="2025-12-31T00:00:00"/>
    <n v="1"/>
  </r>
  <r>
    <x v="20"/>
    <m/>
    <m/>
    <m/>
    <m/>
    <m/>
    <n v="1"/>
    <n v="2"/>
    <n v="850"/>
    <s v="HAMPSHIRE"/>
    <s v="Resourced Provision (ASC) - Pinewood Infant School"/>
    <d v="2023-09-01T00:00:00"/>
    <d v="2025-08-31T00:00:00"/>
    <x v="4"/>
    <n v="0"/>
    <s v=""/>
    <s v=""/>
    <n v="0"/>
  </r>
  <r>
    <x v="20"/>
    <m/>
    <m/>
    <m/>
    <m/>
    <m/>
    <n v="1"/>
    <n v="2"/>
    <n v="850"/>
    <s v="HAMPSHIRE"/>
    <s v="Resourced Provision (SLCN) - Pinewood Infant School"/>
    <d v="2023-09-01T00:00:00"/>
    <m/>
    <x v="2"/>
    <n v="0"/>
    <d v="2025-09-01T00:00:00"/>
    <d v="2025-12-31T00:00:00"/>
    <n v="1"/>
  </r>
  <r>
    <x v="20"/>
    <m/>
    <m/>
    <m/>
    <m/>
    <m/>
    <n v="0"/>
    <n v="1"/>
    <n v="850"/>
    <s v="HAMPSHIRE"/>
    <s v="Resourced Provision (SLCN) - Pinewood Infant School"/>
    <d v="2024-09-01T00:00:00"/>
    <m/>
    <x v="2"/>
    <n v="0"/>
    <d v="2025-09-01T00:00:00"/>
    <d v="2025-12-31T00:00:00"/>
    <n v="1"/>
  </r>
  <r>
    <x v="20"/>
    <m/>
    <m/>
    <m/>
    <m/>
    <m/>
    <n v="1"/>
    <n v="2"/>
    <n v="850"/>
    <s v="HAMPSHIRE"/>
    <s v="Resourced Provision (ASC) - Pinewood Infant School"/>
    <d v="2023-09-01T00:00:00"/>
    <m/>
    <x v="4"/>
    <n v="0"/>
    <d v="2025-09-01T00:00:00"/>
    <d v="2025-12-31T00:00:00"/>
    <n v="1"/>
  </r>
  <r>
    <x v="20"/>
    <m/>
    <m/>
    <m/>
    <m/>
    <m/>
    <n v="2"/>
    <n v="3"/>
    <n v="850"/>
    <s v="HAMPSHIRE"/>
    <s v="Resourced Provision (SLCN) - Pinewood Infant School"/>
    <d v="2022-09-01T00:00:00"/>
    <d v="2025-08-31T00:00:00"/>
    <x v="2"/>
    <n v="0"/>
    <s v=""/>
    <s v=""/>
    <n v="0"/>
  </r>
  <r>
    <x v="20"/>
    <m/>
    <m/>
    <m/>
    <m/>
    <m/>
    <n v="1"/>
    <n v="2"/>
    <n v="850"/>
    <s v="HAMPSHIRE"/>
    <s v="Resourced Provision (SLCN) - Pinewood Infant School"/>
    <d v="2023-10-02T00:00:00"/>
    <m/>
    <x v="2"/>
    <n v="0"/>
    <d v="2025-09-01T00:00:00"/>
    <d v="2025-12-31T00:00:00"/>
    <n v="1"/>
  </r>
  <r>
    <x v="20"/>
    <m/>
    <m/>
    <m/>
    <m/>
    <m/>
    <n v="1"/>
    <n v="2"/>
    <n v="850"/>
    <s v="HAMPSHIRE"/>
    <s v="Resourced Provision (SLCN) - Pinewood Infant School"/>
    <d v="2024-09-01T00:00:00"/>
    <m/>
    <x v="4"/>
    <n v="0"/>
    <d v="2025-09-01T00:00:00"/>
    <d v="2025-12-31T00:00:00"/>
    <n v="1"/>
  </r>
  <r>
    <x v="20"/>
    <m/>
    <m/>
    <m/>
    <m/>
    <m/>
    <n v="1"/>
    <n v="2"/>
    <n v="850"/>
    <s v="HAMPSHIRE"/>
    <s v="Resourced Provision (SLCN) - Pinewood Infant School"/>
    <d v="2023-09-01T00:00:00"/>
    <m/>
    <x v="2"/>
    <n v="0"/>
    <d v="2025-09-01T00:00:00"/>
    <d v="2025-12-31T00:00:00"/>
    <n v="1"/>
  </r>
  <r>
    <x v="20"/>
    <m/>
    <m/>
    <m/>
    <m/>
    <m/>
    <n v="2"/>
    <n v="3"/>
    <n v="850"/>
    <s v="HAMPSHIRE"/>
    <s v="Resourced Provision (ASC) - Pinewood Infant School"/>
    <d v="2022-10-31T00:00:00"/>
    <d v="2025-08-31T00:00:00"/>
    <x v="4"/>
    <n v="0"/>
    <s v=""/>
    <s v=""/>
    <n v="0"/>
  </r>
  <r>
    <x v="20"/>
    <m/>
    <m/>
    <m/>
    <m/>
    <m/>
    <n v="2"/>
    <n v="3"/>
    <n v="850"/>
    <s v="HAMPSHIRE"/>
    <s v="Resourced Provision (SLCN) - Pinewood Infant School"/>
    <d v="2022-09-01T00:00:00"/>
    <d v="2025-08-31T00:00:00"/>
    <x v="2"/>
    <n v="0"/>
    <s v=""/>
    <s v=""/>
    <n v="0"/>
  </r>
  <r>
    <x v="20"/>
    <m/>
    <m/>
    <m/>
    <m/>
    <m/>
    <n v="2"/>
    <n v="3"/>
    <n v="850"/>
    <s v="HAMPSHIRE"/>
    <s v="Resourced Provision (ASC) - Pinewood Infant School"/>
    <d v="2023-09-01T00:00:00"/>
    <d v="2025-08-31T00:00:00"/>
    <x v="4"/>
    <n v="0"/>
    <s v=""/>
    <s v=""/>
    <n v="0"/>
  </r>
  <r>
    <x v="20"/>
    <m/>
    <m/>
    <m/>
    <m/>
    <m/>
    <n v="1"/>
    <n v="2"/>
    <n v="850"/>
    <s v="HAMPSHIRE"/>
    <s v="Resourced Provision (SLCN) - Pinewood Infant School"/>
    <d v="2024-01-08T00:00:00"/>
    <m/>
    <x v="2"/>
    <n v="0"/>
    <d v="2025-09-01T00:00:00"/>
    <d v="2025-12-31T00:00:00"/>
    <n v="1"/>
  </r>
  <r>
    <x v="20"/>
    <m/>
    <m/>
    <m/>
    <m/>
    <m/>
    <n v="1"/>
    <n v="2"/>
    <n v="850"/>
    <s v="HAMPSHIRE"/>
    <s v="Resourced Provision (SLCN) - Pinewood Infant School"/>
    <d v="2024-09-01T00:00:00"/>
    <m/>
    <x v="2"/>
    <n v="0"/>
    <d v="2025-09-01T00:00:00"/>
    <d v="2025-12-31T00:00:00"/>
    <n v="1"/>
  </r>
  <r>
    <x v="20"/>
    <m/>
    <m/>
    <m/>
    <m/>
    <m/>
    <n v="1"/>
    <n v="2"/>
    <n v="850"/>
    <s v="HAMPSHIRE"/>
    <s v="Resourced Provision (SLCN) - Pinewood Infant School"/>
    <d v="2023-09-01T00:00:00"/>
    <m/>
    <x v="2"/>
    <n v="0"/>
    <d v="2025-09-01T00:00:00"/>
    <d v="2025-12-31T00:00:00"/>
    <n v="1"/>
  </r>
  <r>
    <x v="20"/>
    <m/>
    <m/>
    <m/>
    <m/>
    <m/>
    <n v="1"/>
    <n v="2"/>
    <n v="850"/>
    <s v="HAMPSHIRE"/>
    <s v="Resourced Provision (ASC) - Pinewood Infant School"/>
    <d v="2023-09-01T00:00:00"/>
    <m/>
    <x v="4"/>
    <n v="0"/>
    <d v="2025-09-01T00:00:00"/>
    <d v="2025-12-31T00:00:00"/>
    <n v="1"/>
  </r>
  <r>
    <x v="20"/>
    <m/>
    <m/>
    <m/>
    <m/>
    <m/>
    <n v="1"/>
    <n v="2"/>
    <n v="850"/>
    <s v="HAMPSHIRE"/>
    <s v="Resourced Provision (SLCN) - Pinewood Infant School"/>
    <d v="2024-09-01T00:00:00"/>
    <m/>
    <x v="4"/>
    <n v="0"/>
    <d v="2025-09-01T00:00:00"/>
    <d v="2025-12-31T00:00:00"/>
    <n v="1"/>
  </r>
  <r>
    <x v="20"/>
    <m/>
    <m/>
    <m/>
    <m/>
    <m/>
    <n v="1"/>
    <n v="2"/>
    <n v="850"/>
    <s v="HAMPSHIRE"/>
    <s v="Resourced Provision (SLCN) - Pinewood Infant School"/>
    <d v="2023-09-01T00:00:00"/>
    <m/>
    <x v="2"/>
    <n v="0"/>
    <d v="2025-09-01T00:00:00"/>
    <d v="2025-12-31T00:00:00"/>
    <n v="1"/>
  </r>
  <r>
    <x v="20"/>
    <m/>
    <m/>
    <m/>
    <m/>
    <m/>
    <n v="2"/>
    <n v="3"/>
    <n v="850"/>
    <s v="HAMPSHIRE"/>
    <s v="Resourced Provision (SLCN) - Pinewood Infant School"/>
    <d v="2022-09-01T00:00:00"/>
    <d v="2025-08-31T00:00:00"/>
    <x v="2"/>
    <n v="0"/>
    <s v=""/>
    <s v=""/>
    <n v="0"/>
  </r>
  <r>
    <x v="21"/>
    <m/>
    <m/>
    <m/>
    <m/>
    <m/>
    <n v="4"/>
    <n v="5"/>
    <n v="850"/>
    <s v="HAMPSHIRE"/>
    <s v="Resourced Provision - Park View Primary"/>
    <d v="2018-10-15T00:00:00"/>
    <m/>
    <x v="6"/>
    <s v="HI"/>
    <d v="2025-09-01T00:00:00"/>
    <d v="2025-12-31T00:00:00"/>
    <n v="1"/>
  </r>
  <r>
    <x v="21"/>
    <m/>
    <m/>
    <m/>
    <m/>
    <m/>
    <n v="1"/>
    <n v="2"/>
    <n v="850"/>
    <s v="HAMPSHIRE"/>
    <s v="Resourced Provision - Park View Primary"/>
    <d v="2023-09-01T00:00:00"/>
    <m/>
    <x v="6"/>
    <n v="0"/>
    <d v="2025-09-01T00:00:00"/>
    <d v="2025-12-31T00:00:00"/>
    <n v="1"/>
  </r>
  <r>
    <x v="21"/>
    <m/>
    <m/>
    <m/>
    <m/>
    <m/>
    <n v="4"/>
    <n v="5"/>
    <n v="850"/>
    <s v="HAMPSHIRE"/>
    <s v="Resourced Provision - Park View Primary"/>
    <d v="2019-09-03T00:00:00"/>
    <m/>
    <x v="6"/>
    <s v="HI"/>
    <d v="2025-09-01T00:00:00"/>
    <d v="2025-12-31T00:00:00"/>
    <n v="1"/>
  </r>
  <r>
    <x v="21"/>
    <m/>
    <m/>
    <m/>
    <m/>
    <m/>
    <n v="6"/>
    <n v="7"/>
    <n v="850"/>
    <s v="HAMPSHIRE"/>
    <s v="Resourced Provision - Park View Primary"/>
    <d v="2019-01-16T00:00:00"/>
    <d v="2025-08-31T00:00:00"/>
    <x v="6"/>
    <s v="HI"/>
    <s v=""/>
    <s v=""/>
    <n v="0"/>
  </r>
  <r>
    <x v="21"/>
    <m/>
    <m/>
    <m/>
    <m/>
    <m/>
    <n v="1"/>
    <n v="2"/>
    <n v="850"/>
    <s v="HAMPSHIRE"/>
    <s v="Resourced Provision - Park View Primary"/>
    <d v="2023-09-01T00:00:00"/>
    <m/>
    <x v="6"/>
    <n v="0"/>
    <d v="2025-09-01T00:00:00"/>
    <d v="2025-12-31T00:00:00"/>
    <n v="1"/>
  </r>
  <r>
    <x v="21"/>
    <m/>
    <m/>
    <m/>
    <m/>
    <m/>
    <n v="2"/>
    <n v="3"/>
    <n v="850"/>
    <s v="HAMPSHIRE"/>
    <s v="Resourced Provision - Park View Primary"/>
    <d v="2023-09-01T00:00:00"/>
    <m/>
    <x v="6"/>
    <n v="0"/>
    <d v="2025-09-01T00:00:00"/>
    <d v="2025-12-31T00:00:00"/>
    <n v="1"/>
  </r>
  <r>
    <x v="22"/>
    <m/>
    <m/>
    <m/>
    <m/>
    <m/>
    <n v="5"/>
    <n v="6"/>
    <n v="850"/>
    <s v="HAMPSHIRE"/>
    <s v="Resourced Provision (SLCN) - Morelands Primary"/>
    <d v="2022-09-01T00:00:00"/>
    <m/>
    <x v="2"/>
    <n v="0"/>
    <d v="2025-09-01T00:00:00"/>
    <d v="2025-12-31T00:00:00"/>
    <n v="1"/>
  </r>
  <r>
    <x v="22"/>
    <m/>
    <m/>
    <m/>
    <m/>
    <m/>
    <n v="1"/>
    <n v="2"/>
    <n v="850"/>
    <s v="HAMPSHIRE"/>
    <s v="Resourced Provision (ASC) - Morelands Primary"/>
    <d v="2023-09-01T00:00:00"/>
    <m/>
    <x v="4"/>
    <n v="0"/>
    <d v="2025-09-01T00:00:00"/>
    <d v="2025-12-31T00:00:00"/>
    <n v="1"/>
  </r>
  <r>
    <x v="22"/>
    <m/>
    <m/>
    <m/>
    <m/>
    <m/>
    <n v="4"/>
    <n v="5"/>
    <n v="850"/>
    <s v="HAMPSHIRE"/>
    <s v="Resourced Provision (ASC) - Morelands Primary"/>
    <d v="2023-09-01T00:00:00"/>
    <m/>
    <x v="4"/>
    <n v="0"/>
    <d v="2025-09-01T00:00:00"/>
    <d v="2025-12-31T00:00:00"/>
    <n v="1"/>
  </r>
  <r>
    <x v="22"/>
    <m/>
    <m/>
    <m/>
    <m/>
    <m/>
    <n v="1"/>
    <n v="2"/>
    <n v="850"/>
    <s v="HAMPSHIRE"/>
    <s v="Resourced Provision (ASC) - Morelands Primary"/>
    <d v="2023-09-01T00:00:00"/>
    <m/>
    <x v="4"/>
    <n v="0"/>
    <d v="2025-09-01T00:00:00"/>
    <d v="2025-12-31T00:00:00"/>
    <n v="1"/>
  </r>
  <r>
    <x v="22"/>
    <m/>
    <m/>
    <m/>
    <m/>
    <m/>
    <n v="4"/>
    <n v="5"/>
    <n v="850"/>
    <s v="HAMPSHIRE"/>
    <s v="Resourced Provision (ASC) - Morelands Primary"/>
    <d v="2023-09-01T00:00:00"/>
    <m/>
    <x v="4"/>
    <n v="0"/>
    <d v="2025-09-01T00:00:00"/>
    <d v="2025-12-31T00:00:00"/>
    <n v="1"/>
  </r>
  <r>
    <x v="22"/>
    <m/>
    <m/>
    <m/>
    <m/>
    <m/>
    <n v="5"/>
    <n v="6"/>
    <n v="850"/>
    <s v="HAMPSHIRE"/>
    <s v="Resourced Provision (SLCN) - Morelands Primary"/>
    <d v="2022-09-01T00:00:00"/>
    <m/>
    <x v="2"/>
    <n v="0"/>
    <d v="2025-09-01T00:00:00"/>
    <d v="2025-12-31T00:00:00"/>
    <n v="1"/>
  </r>
  <r>
    <x v="22"/>
    <m/>
    <m/>
    <m/>
    <m/>
    <m/>
    <n v="5"/>
    <n v="6"/>
    <n v="850"/>
    <s v="HAMPSHIRE"/>
    <s v="Resourced Provision (SLCN) - Morelands Primary"/>
    <d v="2022-09-01T00:00:00"/>
    <m/>
    <x v="2"/>
    <n v="0"/>
    <d v="2025-09-01T00:00:00"/>
    <d v="2025-12-31T00:00:00"/>
    <n v="1"/>
  </r>
  <r>
    <x v="22"/>
    <m/>
    <m/>
    <m/>
    <m/>
    <m/>
    <n v="5"/>
    <n v="6"/>
    <n v="850"/>
    <s v="HAMPSHIRE"/>
    <s v="Resourced Provision (SLCN) - Morelands Primary"/>
    <d v="2022-09-01T00:00:00"/>
    <m/>
    <x v="2"/>
    <n v="0"/>
    <d v="2025-09-01T00:00:00"/>
    <d v="2025-12-31T00:00:00"/>
    <n v="1"/>
  </r>
  <r>
    <x v="22"/>
    <m/>
    <m/>
    <m/>
    <m/>
    <m/>
    <n v="4"/>
    <n v="5"/>
    <n v="850"/>
    <s v="HAMPSHIRE"/>
    <s v="Resourced Provision (SLCN) - Morelands Primary"/>
    <d v="2024-09-01T00:00:00"/>
    <m/>
    <x v="2"/>
    <n v="0"/>
    <d v="2025-09-01T00:00:00"/>
    <d v="2025-12-31T00:00:00"/>
    <n v="1"/>
  </r>
  <r>
    <x v="22"/>
    <m/>
    <m/>
    <m/>
    <m/>
    <m/>
    <n v="3"/>
    <n v="4"/>
    <n v="850"/>
    <s v="HAMPSHIRE"/>
    <s v="Resourced Provision (SLCN) - Morelands Primary"/>
    <d v="2025-09-01T00:00:00"/>
    <m/>
    <x v="2"/>
    <n v="0"/>
    <d v="2025-09-01T00:00:00"/>
    <d v="2025-12-31T00:00:00"/>
    <n v="1"/>
  </r>
  <r>
    <x v="22"/>
    <m/>
    <m/>
    <m/>
    <m/>
    <m/>
    <n v="2"/>
    <n v="3"/>
    <n v="850"/>
    <s v="HAMPSHIRE"/>
    <s v="Resourced Provision (SLCN) - Morelands Primary"/>
    <d v="2025-01-06T00:00:00"/>
    <m/>
    <x v="2"/>
    <n v="0"/>
    <d v="2025-09-01T00:00:00"/>
    <d v="2025-12-31T00:00:00"/>
    <n v="1"/>
  </r>
  <r>
    <x v="22"/>
    <m/>
    <m/>
    <m/>
    <m/>
    <m/>
    <n v="4"/>
    <n v="5"/>
    <n v="850"/>
    <s v="HAMPSHIRE"/>
    <s v="Resourced Provision (ASC) - Morelands Primary"/>
    <d v="2023-09-01T00:00:00"/>
    <m/>
    <x v="4"/>
    <n v="0"/>
    <d v="2025-09-01T00:00:00"/>
    <d v="2025-12-31T00:00:00"/>
    <n v="1"/>
  </r>
  <r>
    <x v="22"/>
    <m/>
    <m/>
    <m/>
    <m/>
    <m/>
    <n v="6"/>
    <n v="7"/>
    <n v="850"/>
    <s v="HAMPSHIRE"/>
    <s v="Resourced Provision (SLCN) - Morelands Primary"/>
    <d v="2022-09-01T00:00:00"/>
    <d v="2025-08-31T00:00:00"/>
    <x v="2"/>
    <n v="0"/>
    <s v=""/>
    <s v=""/>
    <n v="0"/>
  </r>
  <r>
    <x v="22"/>
    <m/>
    <m/>
    <m/>
    <m/>
    <m/>
    <n v="6"/>
    <n v="7"/>
    <n v="850"/>
    <s v="HAMPSHIRE"/>
    <s v="Resourced Provision (SLCN) - Morelands Primary"/>
    <d v="2022-09-01T00:00:00"/>
    <d v="2025-08-31T00:00:00"/>
    <x v="2"/>
    <n v="0"/>
    <s v=""/>
    <s v=""/>
    <n v="0"/>
  </r>
  <r>
    <x v="22"/>
    <m/>
    <m/>
    <m/>
    <m/>
    <m/>
    <n v="4"/>
    <n v="5"/>
    <n v="850"/>
    <s v="HAMPSHIRE"/>
    <s v="Resourced Provision (SLCN) - Morelands Primary"/>
    <d v="2024-05-26T00:00:00"/>
    <m/>
    <x v="2"/>
    <n v="0"/>
    <d v="2025-09-01T00:00:00"/>
    <d v="2025-12-31T00:00:00"/>
    <n v="1"/>
  </r>
  <r>
    <x v="22"/>
    <m/>
    <m/>
    <m/>
    <m/>
    <m/>
    <n v="5"/>
    <n v="6"/>
    <n v="850"/>
    <s v="HAMPSHIRE"/>
    <s v="Resourced Provision (SLCN) - Morelands Primary"/>
    <d v="2022-09-01T00:00:00"/>
    <m/>
    <x v="2"/>
    <n v="0"/>
    <d v="2025-09-01T00:00:00"/>
    <d v="2025-12-31T00:00:00"/>
    <n v="1"/>
  </r>
  <r>
    <x v="22"/>
    <m/>
    <m/>
    <m/>
    <m/>
    <m/>
    <n v="5"/>
    <n v="6"/>
    <n v="850"/>
    <s v="HAMPSHIRE"/>
    <s v="Resourced Provision (SLCN) - Morelands Primary"/>
    <d v="2022-04-01T00:00:00"/>
    <m/>
    <x v="2"/>
    <n v="0"/>
    <d v="2025-09-01T00:00:00"/>
    <d v="2025-12-31T00:00:00"/>
    <n v="1"/>
  </r>
  <r>
    <x v="22"/>
    <m/>
    <m/>
    <m/>
    <m/>
    <m/>
    <n v="3"/>
    <n v="4"/>
    <n v="850"/>
    <s v="HAMPSHIRE"/>
    <s v="Resourced Provision (SLCN) - Morelands Primary"/>
    <d v="2025-09-01T00:00:00"/>
    <m/>
    <x v="2"/>
    <n v="0"/>
    <d v="2025-09-01T00:00:00"/>
    <d v="2025-12-31T00:00:00"/>
    <n v="1"/>
  </r>
  <r>
    <x v="22"/>
    <m/>
    <m/>
    <m/>
    <m/>
    <m/>
    <n v="1"/>
    <n v="2"/>
    <n v="850"/>
    <s v="HAMPSHIRE"/>
    <s v="Resourced Provision (SLCN) - Morelands Primary"/>
    <d v="2025-09-01T00:00:00"/>
    <m/>
    <x v="2"/>
    <n v="0"/>
    <d v="2025-09-01T00:00:00"/>
    <d v="2025-12-31T00:00:00"/>
    <n v="1"/>
  </r>
  <r>
    <x v="22"/>
    <m/>
    <m/>
    <m/>
    <m/>
    <m/>
    <n v="6"/>
    <n v="7"/>
    <n v="850"/>
    <s v="HAMPSHIRE"/>
    <s v="Resourced Provision (SLCN) - Morelands Primary"/>
    <d v="2018-09-01T00:00:00"/>
    <d v="2025-08-31T00:00:00"/>
    <x v="2"/>
    <n v="0"/>
    <s v=""/>
    <s v=""/>
    <n v="0"/>
  </r>
  <r>
    <x v="22"/>
    <m/>
    <m/>
    <m/>
    <m/>
    <m/>
    <n v="5"/>
    <n v="6"/>
    <n v="850"/>
    <s v="HAMPSHIRE"/>
    <s v="Resourced Provision (SLCN) - Morelands Primary"/>
    <d v="2022-09-01T00:00:00"/>
    <d v="2025-08-31T00:00:00"/>
    <x v="2"/>
    <n v="0"/>
    <s v=""/>
    <s v=""/>
    <n v="0"/>
  </r>
  <r>
    <x v="22"/>
    <m/>
    <m/>
    <m/>
    <m/>
    <m/>
    <n v="5"/>
    <n v="6"/>
    <n v="850"/>
    <s v="HAMPSHIRE"/>
    <s v="Resourced Provision (SLCN) - Morelands Primary"/>
    <d v="2022-09-01T00:00:00"/>
    <m/>
    <x v="2"/>
    <n v="0"/>
    <d v="2025-09-01T00:00:00"/>
    <d v="2025-12-31T00:00:00"/>
    <n v="1"/>
  </r>
  <r>
    <x v="22"/>
    <m/>
    <m/>
    <m/>
    <m/>
    <m/>
    <n v="4"/>
    <n v="5"/>
    <n v="850"/>
    <s v="HAMPSHIRE"/>
    <s v="Resourced Provision (SLCN) - Morelands Primary"/>
    <d v="2023-09-01T00:00:00"/>
    <m/>
    <x v="2"/>
    <n v="0"/>
    <d v="2025-09-01T00:00:00"/>
    <d v="2025-12-31T00:00:00"/>
    <n v="1"/>
  </r>
  <r>
    <x v="22"/>
    <m/>
    <m/>
    <m/>
    <m/>
    <m/>
    <n v="1"/>
    <n v="2"/>
    <n v="850"/>
    <s v="HAMPSHIRE"/>
    <s v="Resourced Provision (SLCN) - Morelands Primary"/>
    <d v="2024-09-01T00:00:00"/>
    <m/>
    <x v="2"/>
    <n v="0"/>
    <d v="2025-09-01T00:00:00"/>
    <d v="2025-12-31T00:00:00"/>
    <n v="1"/>
  </r>
  <r>
    <x v="22"/>
    <m/>
    <m/>
    <m/>
    <m/>
    <m/>
    <n v="3"/>
    <n v="4"/>
    <n v="850"/>
    <s v="HAMPSHIRE"/>
    <s v="Resourced Provision (ASC) - Morelands Primary"/>
    <d v="2023-09-01T00:00:00"/>
    <m/>
    <x v="4"/>
    <n v="0"/>
    <d v="2025-09-01T00:00:00"/>
    <d v="2025-12-31T00:00:00"/>
    <n v="1"/>
  </r>
  <r>
    <x v="22"/>
    <m/>
    <m/>
    <m/>
    <m/>
    <m/>
    <n v="4"/>
    <n v="5"/>
    <n v="850"/>
    <s v="HAMPSHIRE"/>
    <s v="Resourced Provision (ASC) - Morelands Primary"/>
    <d v="2023-09-01T00:00:00"/>
    <m/>
    <x v="4"/>
    <n v="0"/>
    <d v="2025-09-01T00:00:00"/>
    <d v="2025-12-31T00:00:00"/>
    <n v="1"/>
  </r>
  <r>
    <x v="22"/>
    <m/>
    <m/>
    <m/>
    <m/>
    <m/>
    <n v="5"/>
    <n v="6"/>
    <n v="850"/>
    <s v="HAMPSHIRE"/>
    <s v="Resourced Provision (ASC) - Morelands Primary"/>
    <d v="2024-05-26T00:00:00"/>
    <m/>
    <x v="2"/>
    <n v="0"/>
    <d v="2025-09-01T00:00:00"/>
    <d v="2025-12-31T00:00:00"/>
    <n v="1"/>
  </r>
  <r>
    <x v="22"/>
    <m/>
    <m/>
    <m/>
    <m/>
    <m/>
    <n v="5"/>
    <n v="6"/>
    <n v="851"/>
    <s v="PORTSMOUTH"/>
    <s v="Resourced Provision (SLCN) - Morelands Primary"/>
    <d v="2025-09-01T00:00:00"/>
    <m/>
    <x v="2"/>
    <n v="0"/>
    <d v="2025-09-01T00:00:00"/>
    <d v="2025-12-31T00:00:00"/>
    <n v="1"/>
  </r>
  <r>
    <x v="23"/>
    <m/>
    <m/>
    <m/>
    <m/>
    <m/>
    <n v="4"/>
    <n v="5"/>
    <n v="850"/>
    <s v="HAMPSHIRE"/>
    <s v="Resourced Provision - Bedenham Primary School"/>
    <d v="2024-04-15T00:00:00"/>
    <m/>
    <x v="5"/>
    <n v="0"/>
    <d v="2025-09-01T00:00:00"/>
    <d v="2025-12-31T00:00:00"/>
    <n v="1"/>
  </r>
  <r>
    <x v="23"/>
    <m/>
    <m/>
    <m/>
    <m/>
    <m/>
    <n v="4"/>
    <n v="5"/>
    <n v="850"/>
    <s v="HAMPSHIRE"/>
    <s v="Resourced Provision - Bedenham Primary School"/>
    <d v="2023-09-01T00:00:00"/>
    <m/>
    <x v="5"/>
    <n v="0"/>
    <d v="2025-09-01T00:00:00"/>
    <d v="2025-12-31T00:00:00"/>
    <n v="1"/>
  </r>
  <r>
    <x v="23"/>
    <m/>
    <m/>
    <m/>
    <m/>
    <m/>
    <n v="1"/>
    <n v="2"/>
    <n v="850"/>
    <s v="HAMPSHIRE"/>
    <s v="Resourced Provision - Bedenham Primary School"/>
    <d v="2025-05-12T00:00:00"/>
    <m/>
    <x v="5"/>
    <n v="0"/>
    <d v="2025-09-01T00:00:00"/>
    <d v="2025-12-31T00:00:00"/>
    <n v="1"/>
  </r>
  <r>
    <x v="23"/>
    <m/>
    <m/>
    <m/>
    <m/>
    <m/>
    <n v="5"/>
    <n v="6"/>
    <n v="850"/>
    <s v="HAMPSHIRE"/>
    <s v="Resourced Provision - Bedenham Primary School"/>
    <d v="2021-09-01T00:00:00"/>
    <m/>
    <x v="5"/>
    <n v="0"/>
    <d v="2025-09-01T00:00:00"/>
    <d v="2025-12-31T00:00:00"/>
    <n v="1"/>
  </r>
  <r>
    <x v="23"/>
    <m/>
    <m/>
    <m/>
    <m/>
    <m/>
    <n v="1"/>
    <n v="2"/>
    <n v="850"/>
    <s v="HAMPSHIRE"/>
    <s v="Resourced Provision - Bedenham Primary School"/>
    <d v="2025-02-01T00:00:00"/>
    <m/>
    <x v="5"/>
    <n v="0"/>
    <d v="2025-09-01T00:00:00"/>
    <d v="2025-12-31T00:00:00"/>
    <n v="1"/>
  </r>
  <r>
    <x v="23"/>
    <m/>
    <m/>
    <m/>
    <m/>
    <m/>
    <n v="5"/>
    <n v="6"/>
    <n v="850"/>
    <s v="HAMPSHIRE"/>
    <s v="Resourced Provision - Bedenham Primary School"/>
    <d v="2024-09-01T00:00:00"/>
    <m/>
    <x v="5"/>
    <n v="0"/>
    <d v="2025-09-01T00:00:00"/>
    <d v="2025-12-31T00:00:00"/>
    <n v="1"/>
  </r>
  <r>
    <x v="23"/>
    <m/>
    <m/>
    <m/>
    <m/>
    <m/>
    <n v="4"/>
    <n v="5"/>
    <n v="850"/>
    <s v="HAMPSHIRE"/>
    <s v="Resourced Provision - Bedenham Primary School"/>
    <d v="2024-02-19T00:00:00"/>
    <m/>
    <x v="5"/>
    <n v="0"/>
    <d v="2025-09-01T00:00:00"/>
    <d v="2025-12-31T00:00:00"/>
    <n v="1"/>
  </r>
  <r>
    <x v="23"/>
    <m/>
    <m/>
    <m/>
    <m/>
    <m/>
    <n v="1"/>
    <n v="2"/>
    <n v="850"/>
    <s v="HAMPSHIRE"/>
    <s v="Resourced Provision - Bedenham Primary School"/>
    <d v="2024-09-01T00:00:00"/>
    <m/>
    <x v="5"/>
    <n v="0"/>
    <d v="2025-09-01T00:00:00"/>
    <d v="2025-12-31T00:00:00"/>
    <n v="1"/>
  </r>
  <r>
    <x v="23"/>
    <m/>
    <m/>
    <m/>
    <m/>
    <m/>
    <n v="3"/>
    <n v="4"/>
    <n v="850"/>
    <s v="HAMPSHIRE"/>
    <s v="Resourced Provision - Bedenham Primary School"/>
    <d v="2022-09-01T00:00:00"/>
    <m/>
    <x v="5"/>
    <n v="0"/>
    <d v="2025-09-01T00:00:00"/>
    <d v="2025-12-31T00:00:00"/>
    <n v="1"/>
  </r>
  <r>
    <x v="23"/>
    <m/>
    <m/>
    <m/>
    <m/>
    <m/>
    <n v="6"/>
    <n v="7"/>
    <n v="850"/>
    <s v="HAMPSHIRE"/>
    <s v="Resourced Provision - Bedenham Primary School"/>
    <d v="2021-09-01T00:00:00"/>
    <d v="2025-08-31T00:00:00"/>
    <x v="5"/>
    <n v="0"/>
    <s v=""/>
    <s v=""/>
    <n v="0"/>
  </r>
  <r>
    <x v="23"/>
    <m/>
    <m/>
    <m/>
    <m/>
    <m/>
    <n v="4"/>
    <n v="5"/>
    <n v="850"/>
    <s v="HAMPSHIRE"/>
    <s v="Resourced Provision - Bedenham Primary School"/>
    <d v="2022-09-01T00:00:00"/>
    <m/>
    <x v="5"/>
    <n v="0"/>
    <d v="2025-09-01T00:00:00"/>
    <d v="2025-12-31T00:00:00"/>
    <n v="1"/>
  </r>
  <r>
    <x v="23"/>
    <m/>
    <m/>
    <m/>
    <m/>
    <m/>
    <n v="3"/>
    <n v="4"/>
    <n v="850"/>
    <s v="HAMPSHIRE"/>
    <s v="Resourced Provision - Bedenham Primary School"/>
    <d v="2025-02-01T00:00:00"/>
    <m/>
    <x v="5"/>
    <n v="0"/>
    <d v="2025-09-01T00:00:00"/>
    <d v="2025-12-31T00:00:00"/>
    <n v="1"/>
  </r>
  <r>
    <x v="23"/>
    <m/>
    <m/>
    <m/>
    <m/>
    <m/>
    <n v="6"/>
    <n v="7"/>
    <n v="850"/>
    <s v="HAMPSHIRE"/>
    <s v="Resourced Provision - Bedenham Primary School"/>
    <d v="2021-09-01T00:00:00"/>
    <d v="2025-08-31T00:00:00"/>
    <x v="5"/>
    <n v="0"/>
    <s v=""/>
    <s v=""/>
    <n v="0"/>
  </r>
  <r>
    <x v="23"/>
    <m/>
    <m/>
    <m/>
    <m/>
    <m/>
    <n v="6"/>
    <n v="7"/>
    <n v="850"/>
    <s v="HAMPSHIRE"/>
    <s v="Resourced Provision - Bedenham Primary School"/>
    <d v="2023-09-01T00:00:00"/>
    <d v="2025-08-31T00:00:00"/>
    <x v="5"/>
    <n v="0"/>
    <s v=""/>
    <s v=""/>
    <n v="0"/>
  </r>
  <r>
    <x v="23"/>
    <m/>
    <m/>
    <m/>
    <m/>
    <m/>
    <n v="5"/>
    <n v="6"/>
    <n v="850"/>
    <s v="HAMPSHIRE"/>
    <s v="Resourced Provision - Bedenham Primary School"/>
    <d v="2024-09-01T00:00:00"/>
    <m/>
    <x v="5"/>
    <n v="0"/>
    <d v="2025-09-01T00:00:00"/>
    <d v="2025-12-31T00:00:00"/>
    <n v="1"/>
  </r>
  <r>
    <x v="24"/>
    <m/>
    <m/>
    <m/>
    <m/>
    <m/>
    <n v="6"/>
    <n v="7"/>
    <n v="850"/>
    <s v="HAMPSHIRE"/>
    <s v="Resourced Provision (SLCN) - Holbrook Primary School"/>
    <d v="2018-09-01T00:00:00"/>
    <d v="2025-08-31T00:00:00"/>
    <x v="2"/>
    <n v="0"/>
    <s v=""/>
    <s v=""/>
    <n v="0"/>
  </r>
  <r>
    <x v="24"/>
    <m/>
    <m/>
    <m/>
    <m/>
    <m/>
    <n v="1"/>
    <n v="2"/>
    <n v="850"/>
    <s v="HAMPSHIRE"/>
    <s v="Resourced Provision (ASC) - Holbrook Primary School"/>
    <d v="2024-09-01T00:00:00"/>
    <m/>
    <x v="4"/>
    <n v="0"/>
    <d v="2025-09-01T00:00:00"/>
    <d v="2025-12-31T00:00:00"/>
    <n v="1"/>
  </r>
  <r>
    <x v="24"/>
    <m/>
    <m/>
    <m/>
    <m/>
    <m/>
    <n v="2"/>
    <n v="3"/>
    <n v="850"/>
    <s v="HAMPSHIRE"/>
    <s v="Resourced Provision (ASC) - Holbrook Primary School"/>
    <d v="2022-09-01T00:00:00"/>
    <m/>
    <x v="4"/>
    <n v="0"/>
    <d v="2025-09-01T00:00:00"/>
    <d v="2025-12-31T00:00:00"/>
    <n v="1"/>
  </r>
  <r>
    <x v="24"/>
    <m/>
    <m/>
    <m/>
    <m/>
    <m/>
    <n v="1"/>
    <n v="2"/>
    <n v="850"/>
    <s v="HAMPSHIRE"/>
    <s v="Resourced Provision (ASC) - Holbrook Primary School"/>
    <d v="2023-09-01T00:00:00"/>
    <m/>
    <x v="4"/>
    <n v="0"/>
    <d v="2025-09-01T00:00:00"/>
    <d v="2025-12-31T00:00:00"/>
    <n v="1"/>
  </r>
  <r>
    <x v="24"/>
    <m/>
    <m/>
    <m/>
    <m/>
    <m/>
    <n v="1"/>
    <n v="2"/>
    <n v="850"/>
    <s v="HAMPSHIRE"/>
    <s v="Resourced Provision (ASC) - Holbrook Primary School"/>
    <d v="2023-09-01T00:00:00"/>
    <m/>
    <x v="4"/>
    <n v="0"/>
    <d v="2025-09-01T00:00:00"/>
    <d v="2025-12-31T00:00:00"/>
    <n v="1"/>
  </r>
  <r>
    <x v="24"/>
    <m/>
    <m/>
    <m/>
    <m/>
    <m/>
    <n v="4"/>
    <n v="5"/>
    <n v="850"/>
    <s v="HAMPSHIRE"/>
    <s v="Resourced Provision (ASC) - Holbrook Primary School"/>
    <d v="2020-09-01T00:00:00"/>
    <m/>
    <x v="4"/>
    <n v="0"/>
    <d v="2025-09-01T00:00:00"/>
    <d v="2025-12-31T00:00:00"/>
    <n v="1"/>
  </r>
  <r>
    <x v="24"/>
    <m/>
    <m/>
    <m/>
    <m/>
    <m/>
    <n v="6"/>
    <n v="7"/>
    <n v="850"/>
    <s v="HAMPSHIRE"/>
    <s v="Resourced Provision (SLCN) - Holbrook Primary School"/>
    <d v="2021-09-01T00:00:00"/>
    <d v="2025-08-31T00:00:00"/>
    <x v="2"/>
    <n v="0"/>
    <s v=""/>
    <s v=""/>
    <n v="0"/>
  </r>
  <r>
    <x v="24"/>
    <m/>
    <m/>
    <m/>
    <m/>
    <m/>
    <n v="6"/>
    <n v="7"/>
    <n v="850"/>
    <s v="HAMPSHIRE"/>
    <s v="Resourced Provision (ASC) - Holbrook Primary School"/>
    <d v="2020-09-01T00:00:00"/>
    <d v="2025-08-31T00:00:00"/>
    <x v="4"/>
    <n v="0"/>
    <s v=""/>
    <s v=""/>
    <n v="0"/>
  </r>
  <r>
    <x v="24"/>
    <m/>
    <m/>
    <m/>
    <m/>
    <m/>
    <n v="6"/>
    <n v="7"/>
    <n v="850"/>
    <s v="HAMPSHIRE"/>
    <s v="Resourced Provision (SLCN) - Holbrook Primary School"/>
    <d v="2022-09-01T00:00:00"/>
    <d v="2025-08-31T00:00:00"/>
    <x v="2"/>
    <n v="0"/>
    <s v=""/>
    <s v=""/>
    <n v="0"/>
  </r>
  <r>
    <x v="24"/>
    <m/>
    <m/>
    <m/>
    <m/>
    <m/>
    <n v="2"/>
    <n v="3"/>
    <n v="850"/>
    <s v="HAMPSHIRE"/>
    <s v="Resourced Provision (ASC) - Holbrook Primary School"/>
    <d v="2022-09-01T00:00:00"/>
    <m/>
    <x v="4"/>
    <n v="0"/>
    <d v="2025-09-01T00:00:00"/>
    <d v="2025-12-31T00:00:00"/>
    <n v="1"/>
  </r>
  <r>
    <x v="24"/>
    <m/>
    <m/>
    <m/>
    <m/>
    <m/>
    <n v="5"/>
    <n v="6"/>
    <n v="850"/>
    <s v="HAMPSHIRE"/>
    <s v="Resourced Provision (ASC) - Holbrook Primary School"/>
    <d v="2024-11-19T00:00:00"/>
    <m/>
    <x v="4"/>
    <n v="0"/>
    <d v="2025-09-01T00:00:00"/>
    <d v="2025-12-31T00:00:00"/>
    <n v="1"/>
  </r>
  <r>
    <x v="24"/>
    <m/>
    <m/>
    <m/>
    <m/>
    <m/>
    <n v="2"/>
    <n v="3"/>
    <n v="850"/>
    <s v="HAMPSHIRE"/>
    <s v="Resourced Provision (ASC) - Holbrook Primary School"/>
    <d v="2025-02-24T00:00:00"/>
    <m/>
    <x v="4"/>
    <n v="0"/>
    <d v="2025-09-01T00:00:00"/>
    <d v="2025-12-31T00:00:00"/>
    <n v="1"/>
  </r>
  <r>
    <x v="24"/>
    <m/>
    <m/>
    <m/>
    <m/>
    <m/>
    <n v="6"/>
    <n v="7"/>
    <n v="850"/>
    <s v="HAMPSHIRE"/>
    <s v="Resourced Provision (ASC) - Holbrook Primary School"/>
    <d v="2020-09-01T00:00:00"/>
    <d v="2025-08-31T00:00:00"/>
    <x v="4"/>
    <n v="0"/>
    <s v=""/>
    <s v=""/>
    <n v="0"/>
  </r>
  <r>
    <x v="24"/>
    <m/>
    <m/>
    <m/>
    <m/>
    <m/>
    <n v="4"/>
    <n v="5"/>
    <n v="850"/>
    <s v="HAMPSHIRE"/>
    <s v="Resourced Provision (SLCN) - Holbrook Primary School"/>
    <d v="2024-09-01T00:00:00"/>
    <m/>
    <x v="2"/>
    <n v="0"/>
    <d v="2025-09-01T00:00:00"/>
    <d v="2025-12-31T00:00:00"/>
    <n v="1"/>
  </r>
  <r>
    <x v="24"/>
    <m/>
    <m/>
    <m/>
    <m/>
    <m/>
    <n v="2"/>
    <n v="3"/>
    <n v="850"/>
    <s v="HAMPSHIRE"/>
    <s v="Resourced Provision (ASC) - Holbrook Primary School"/>
    <d v="2023-09-01T00:00:00"/>
    <m/>
    <x v="4"/>
    <n v="0"/>
    <d v="2025-09-01T00:00:00"/>
    <d v="2025-12-31T00:00:00"/>
    <n v="1"/>
  </r>
  <r>
    <x v="24"/>
    <m/>
    <m/>
    <m/>
    <m/>
    <m/>
    <n v="1"/>
    <n v="2"/>
    <n v="850"/>
    <s v="HAMPSHIRE"/>
    <s v="Resourced Provision (ASC) - Holbrook Primary School"/>
    <d v="2024-01-01T00:00:00"/>
    <m/>
    <x v="4"/>
    <n v="0"/>
    <d v="2025-09-01T00:00:00"/>
    <d v="2025-12-31T00:00:00"/>
    <n v="1"/>
  </r>
  <r>
    <x v="24"/>
    <m/>
    <m/>
    <m/>
    <m/>
    <m/>
    <n v="5"/>
    <n v="6"/>
    <n v="850"/>
    <s v="HAMPSHIRE"/>
    <s v="Resourced Provision (SLCN) - Holbrook Primary School"/>
    <d v="2022-09-01T00:00:00"/>
    <m/>
    <x v="2"/>
    <n v="0"/>
    <d v="2025-09-01T00:00:00"/>
    <d v="2025-12-31T00:00:00"/>
    <n v="1"/>
  </r>
  <r>
    <x v="24"/>
    <m/>
    <m/>
    <m/>
    <m/>
    <m/>
    <n v="6"/>
    <n v="7"/>
    <n v="850"/>
    <s v="HAMPSHIRE"/>
    <s v="Resourced Provision (ASC) - Holbrook Primary School"/>
    <d v="2020-09-01T00:00:00"/>
    <d v="2025-08-31T00:00:00"/>
    <x v="4"/>
    <n v="0"/>
    <s v=""/>
    <s v=""/>
    <n v="0"/>
  </r>
  <r>
    <x v="24"/>
    <m/>
    <m/>
    <m/>
    <m/>
    <m/>
    <n v="5"/>
    <n v="6"/>
    <n v="850"/>
    <s v="HAMPSHIRE"/>
    <s v="Resourced Provision (ASC) - Holbrook Primary School"/>
    <d v="2020-09-01T00:00:00"/>
    <m/>
    <x v="4"/>
    <n v="0"/>
    <d v="2025-09-01T00:00:00"/>
    <d v="2025-12-31T00:00:00"/>
    <n v="1"/>
  </r>
  <r>
    <x v="24"/>
    <m/>
    <m/>
    <m/>
    <m/>
    <m/>
    <n v="4"/>
    <n v="5"/>
    <n v="850"/>
    <s v="HAMPSHIRE"/>
    <s v="Resourced Provision (ASC) - Holbrook Primary School"/>
    <d v="2020-09-01T00:00:00"/>
    <m/>
    <x v="4"/>
    <n v="0"/>
    <d v="2025-09-01T00:00:00"/>
    <d v="2025-12-31T00:00:00"/>
    <n v="1"/>
  </r>
  <r>
    <x v="24"/>
    <m/>
    <m/>
    <m/>
    <m/>
    <m/>
    <n v="0"/>
    <n v="1"/>
    <n v="850"/>
    <s v="HAMPSHIRE"/>
    <s v="Resourced Provision (ASC) - Holbrook Primary School"/>
    <d v="2024-11-11T00:00:00"/>
    <m/>
    <x v="4"/>
    <n v="0"/>
    <d v="2025-09-01T00:00:00"/>
    <d v="2025-12-31T00:00:00"/>
    <n v="1"/>
  </r>
  <r>
    <x v="24"/>
    <m/>
    <m/>
    <m/>
    <m/>
    <m/>
    <n v="4"/>
    <n v="5"/>
    <n v="850"/>
    <s v="HAMPSHIRE"/>
    <s v="Resourced Provision (SLCN) - Holbrook Primary School"/>
    <d v="2024-09-01T00:00:00"/>
    <m/>
    <x v="2"/>
    <n v="0"/>
    <d v="2025-09-01T00:00:00"/>
    <d v="2025-12-31T00:00:00"/>
    <n v="1"/>
  </r>
  <r>
    <x v="24"/>
    <m/>
    <m/>
    <m/>
    <m/>
    <m/>
    <n v="1"/>
    <n v="2"/>
    <n v="850"/>
    <s v="HAMPSHIRE"/>
    <s v="Resourced Provision (ASC) - Holbrook Primary School"/>
    <d v="2024-01-26T00:00:00"/>
    <m/>
    <x v="4"/>
    <n v="0"/>
    <d v="2025-09-01T00:00:00"/>
    <d v="2025-12-31T00:00:00"/>
    <n v="1"/>
  </r>
  <r>
    <x v="24"/>
    <m/>
    <m/>
    <m/>
    <m/>
    <m/>
    <n v="4"/>
    <n v="5"/>
    <n v="850"/>
    <s v="HAMPSHIRE"/>
    <s v="Resourced Provision (ASC) - Holbrook Primary School"/>
    <d v="2025-02-24T00:00:00"/>
    <m/>
    <x v="4"/>
    <n v="0"/>
    <d v="2025-09-01T00:00:00"/>
    <d v="2025-12-31T00:00:00"/>
    <n v="1"/>
  </r>
  <r>
    <x v="24"/>
    <m/>
    <m/>
    <m/>
    <m/>
    <m/>
    <n v="2"/>
    <n v="3"/>
    <n v="850"/>
    <s v="HAMPSHIRE"/>
    <s v="Resourced Provision (ASC) - Holbrook Primary School"/>
    <d v="2023-09-01T00:00:00"/>
    <m/>
    <x v="4"/>
    <n v="0"/>
    <d v="2025-09-01T00:00:00"/>
    <d v="2025-12-31T00:00:00"/>
    <n v="1"/>
  </r>
  <r>
    <x v="24"/>
    <m/>
    <m/>
    <m/>
    <m/>
    <m/>
    <n v="5"/>
    <n v="6"/>
    <n v="850"/>
    <s v="HAMPSHIRE"/>
    <s v="Resourced Provision (ASC) - Holbrook Primary School"/>
    <d v="2020-09-01T00:00:00"/>
    <m/>
    <x v="4"/>
    <n v="0"/>
    <d v="2025-09-01T00:00:00"/>
    <d v="2025-12-31T00:00:00"/>
    <n v="1"/>
  </r>
  <r>
    <x v="24"/>
    <m/>
    <m/>
    <m/>
    <m/>
    <m/>
    <n v="2"/>
    <n v="3"/>
    <n v="850"/>
    <s v="HAMPSHIRE"/>
    <s v="Resourced Provision (ASC) - Holbrook Primary School"/>
    <d v="2023-10-06T00:00:00"/>
    <m/>
    <x v="4"/>
    <n v="0"/>
    <d v="2025-09-01T00:00:00"/>
    <d v="2025-12-31T00:00:00"/>
    <n v="1"/>
  </r>
  <r>
    <x v="24"/>
    <m/>
    <m/>
    <m/>
    <m/>
    <m/>
    <n v="2"/>
    <n v="3"/>
    <n v="850"/>
    <s v="HAMPSHIRE"/>
    <s v="Resourced Provision (ASC) - Holbrook Primary School"/>
    <d v="2022-09-01T00:00:00"/>
    <m/>
    <x v="4"/>
    <n v="0"/>
    <d v="2025-09-01T00:00:00"/>
    <d v="2025-12-31T00:00:00"/>
    <n v="1"/>
  </r>
  <r>
    <x v="24"/>
    <m/>
    <m/>
    <m/>
    <m/>
    <m/>
    <n v="1"/>
    <n v="2"/>
    <n v="850"/>
    <s v="HAMPSHIRE"/>
    <s v="Resourced Provision (ASC) - Holbrook Primary School"/>
    <d v="2025-05-06T00:00:00"/>
    <m/>
    <x v="4"/>
    <n v="0"/>
    <d v="2025-09-01T00:00:00"/>
    <d v="2025-12-31T00:00:00"/>
    <n v="1"/>
  </r>
  <r>
    <x v="24"/>
    <m/>
    <m/>
    <m/>
    <m/>
    <m/>
    <n v="1"/>
    <n v="2"/>
    <n v="850"/>
    <s v="HAMPSHIRE"/>
    <s v="Resourced Provision (ASC) - Holbrook Primary School"/>
    <d v="2023-09-01T00:00:00"/>
    <m/>
    <x v="4"/>
    <n v="0"/>
    <d v="2025-09-01T00:00:00"/>
    <d v="2025-12-31T00:00:00"/>
    <n v="1"/>
  </r>
  <r>
    <x v="24"/>
    <m/>
    <m/>
    <m/>
    <m/>
    <m/>
    <n v="4"/>
    <n v="5"/>
    <n v="850"/>
    <s v="HAMPSHIRE"/>
    <s v="Resourced Provision (ASC) - Holbrook Primary School"/>
    <d v="2024-11-04T00:00:00"/>
    <m/>
    <x v="4"/>
    <n v="0"/>
    <d v="2025-09-01T00:00:00"/>
    <d v="2025-12-31T00:00:00"/>
    <n v="1"/>
  </r>
  <r>
    <x v="24"/>
    <m/>
    <m/>
    <m/>
    <m/>
    <m/>
    <n v="4"/>
    <n v="5"/>
    <n v="850"/>
    <s v="HAMPSHIRE"/>
    <s v="Resourced Provision (ASC) - Holbrook Primary School"/>
    <d v="2023-09-01T00:00:00"/>
    <m/>
    <x v="4"/>
    <n v="0"/>
    <d v="2025-09-01T00:00:00"/>
    <d v="2025-12-31T00:00:00"/>
    <n v="1"/>
  </r>
  <r>
    <x v="24"/>
    <m/>
    <m/>
    <m/>
    <m/>
    <m/>
    <n v="5"/>
    <n v="6"/>
    <n v="850"/>
    <s v="HAMPSHIRE"/>
    <s v="Resourced Provision (SLCN) - Holbrook Primary School"/>
    <d v="2022-09-01T00:00:00"/>
    <m/>
    <x v="2"/>
    <n v="0"/>
    <d v="2025-09-01T00:00:00"/>
    <d v="2025-12-31T00:00:00"/>
    <n v="1"/>
  </r>
  <r>
    <x v="25"/>
    <m/>
    <m/>
    <m/>
    <m/>
    <m/>
    <n v="5"/>
    <n v="6"/>
    <n v="850"/>
    <s v="HAMPSHIRE"/>
    <s v="Resourced Provision - Medstead CofE Primary School"/>
    <d v="2022-09-01T00:00:00"/>
    <m/>
    <x v="6"/>
    <s v="HI"/>
    <d v="2025-09-01T00:00:00"/>
    <d v="2025-12-31T00:00:00"/>
    <n v="1"/>
  </r>
  <r>
    <x v="25"/>
    <m/>
    <m/>
    <m/>
    <m/>
    <m/>
    <n v="4"/>
    <n v="5"/>
    <n v="850"/>
    <s v="HAMPSHIRE"/>
    <s v="Resourced Provision - Medstead CofE Primary School"/>
    <d v="2020-09-01T00:00:00"/>
    <d v="2025-05-23T00:00:00"/>
    <x v="6"/>
    <s v="HI"/>
    <s v=""/>
    <s v=""/>
    <n v="0"/>
  </r>
  <r>
    <x v="25"/>
    <m/>
    <m/>
    <m/>
    <m/>
    <m/>
    <n v="3"/>
    <n v="4"/>
    <n v="850"/>
    <s v="HAMPSHIRE"/>
    <s v="Resourced Provision - Medstead CofE Primary School"/>
    <d v="2021-09-01T00:00:00"/>
    <m/>
    <x v="6"/>
    <s v="HI"/>
    <d v="2025-09-01T00:00:00"/>
    <d v="2025-12-31T00:00:00"/>
    <n v="1"/>
  </r>
  <r>
    <x v="25"/>
    <m/>
    <m/>
    <m/>
    <m/>
    <m/>
    <n v="2"/>
    <n v="3"/>
    <n v="850"/>
    <s v="HAMPSHIRE"/>
    <s v="Resourced Provision - Medstead CofE Primary School"/>
    <d v="2022-09-01T00:00:00"/>
    <m/>
    <x v="6"/>
    <s v="HI"/>
    <d v="2025-09-01T00:00:00"/>
    <d v="2025-12-31T00:00:00"/>
    <n v="1"/>
  </r>
  <r>
    <x v="25"/>
    <m/>
    <m/>
    <m/>
    <m/>
    <m/>
    <n v="4"/>
    <n v="5"/>
    <n v="850"/>
    <s v="HAMPSHIRE"/>
    <s v="Resourced Provision - Medstead CofE Primary School"/>
    <d v="2025-02-10T00:00:00"/>
    <m/>
    <x v="6"/>
    <s v="HI"/>
    <d v="2025-09-01T00:00:00"/>
    <d v="2025-12-31T00:00:00"/>
    <n v="1"/>
  </r>
  <r>
    <x v="25"/>
    <m/>
    <m/>
    <m/>
    <m/>
    <m/>
    <n v="6"/>
    <n v="7"/>
    <n v="850"/>
    <s v="HAMPSHIRE"/>
    <s v="Resourced Provision - Medstead CofE Primary School"/>
    <d v="2022-04-01T00:00:00"/>
    <d v="2025-08-31T00:00:00"/>
    <x v="6"/>
    <s v="HI"/>
    <s v=""/>
    <s v=""/>
    <n v="0"/>
  </r>
  <r>
    <x v="25"/>
    <m/>
    <m/>
    <m/>
    <m/>
    <m/>
    <n v="2"/>
    <n v="3"/>
    <n v="850"/>
    <s v="HAMPSHIRE"/>
    <s v="Resourced Provision - Medstead CofE Primary School"/>
    <d v="2022-09-01T00:00:00"/>
    <m/>
    <x v="6"/>
    <s v="HI"/>
    <d v="2025-09-01T00:00:00"/>
    <d v="2025-12-31T00:00:00"/>
    <n v="1"/>
  </r>
  <r>
    <x v="25"/>
    <m/>
    <m/>
    <m/>
    <m/>
    <m/>
    <n v="4"/>
    <n v="5"/>
    <n v="850"/>
    <s v="HAMPSHIRE"/>
    <s v="Resourced Provision - Medstead CofE Primary School"/>
    <d v="2020-09-01T00:00:00"/>
    <m/>
    <x v="6"/>
    <n v="0"/>
    <d v="2025-09-01T00:00:00"/>
    <d v="2025-12-31T00:00:00"/>
    <n v="1"/>
  </r>
  <r>
    <x v="25"/>
    <m/>
    <m/>
    <m/>
    <m/>
    <m/>
    <n v="5"/>
    <n v="6"/>
    <n v="850"/>
    <s v="HAMPSHIRE"/>
    <s v="Resourced Provision - Medstead CofE Primary School"/>
    <d v="2019-09-01T00:00:00"/>
    <m/>
    <x v="6"/>
    <s v="HI"/>
    <d v="2025-09-01T00:00:00"/>
    <d v="2025-12-31T00:00:00"/>
    <n v="1"/>
  </r>
  <r>
    <x v="26"/>
    <m/>
    <m/>
    <m/>
    <m/>
    <m/>
    <n v="2"/>
    <n v="3"/>
    <n v="850"/>
    <s v="HAMPSHIRE"/>
    <s v="Resourced Provision - Pennington Junior School"/>
    <d v="2025-04-30T00:00:00"/>
    <m/>
    <x v="5"/>
    <n v="0"/>
    <d v="2025-09-01T00:00:00"/>
    <d v="2025-12-31T00:00:00"/>
    <n v="1"/>
  </r>
  <r>
    <x v="26"/>
    <m/>
    <m/>
    <m/>
    <m/>
    <m/>
    <n v="1"/>
    <n v="2"/>
    <n v="850"/>
    <s v="HAMPSHIRE"/>
    <s v="Resourced Provision - Pennington Junior School"/>
    <d v="2025-09-01T00:00:00"/>
    <m/>
    <x v="5"/>
    <n v="0"/>
    <d v="2025-09-01T00:00:00"/>
    <d v="2025-12-31T00:00:00"/>
    <n v="1"/>
  </r>
  <r>
    <x v="26"/>
    <m/>
    <m/>
    <m/>
    <m/>
    <m/>
    <n v="5"/>
    <n v="6"/>
    <n v="850"/>
    <s v="HAMPSHIRE"/>
    <s v="Resourced Provision - Pennington Junior School"/>
    <d v="2022-09-01T00:00:00"/>
    <m/>
    <x v="5"/>
    <n v="0"/>
    <d v="2025-09-01T00:00:00"/>
    <d v="2025-12-31T00:00:00"/>
    <n v="1"/>
  </r>
  <r>
    <x v="26"/>
    <m/>
    <m/>
    <m/>
    <m/>
    <m/>
    <n v="1"/>
    <n v="2"/>
    <n v="850"/>
    <s v="HAMPSHIRE"/>
    <s v="Resourced Provision - Pennington Junior School"/>
    <d v="2025-09-01T00:00:00"/>
    <m/>
    <x v="5"/>
    <n v="0"/>
    <d v="2025-09-01T00:00:00"/>
    <d v="2025-12-31T00:00:00"/>
    <n v="1"/>
  </r>
  <r>
    <x v="26"/>
    <m/>
    <m/>
    <m/>
    <m/>
    <m/>
    <n v="3"/>
    <n v="4"/>
    <n v="850"/>
    <s v="HAMPSHIRE"/>
    <s v="Resourced Provision - Pennington Junior School"/>
    <d v="2024-09-01T00:00:00"/>
    <m/>
    <x v="5"/>
    <n v="0"/>
    <d v="2025-09-01T00:00:00"/>
    <d v="2025-12-31T00:00:00"/>
    <n v="1"/>
  </r>
  <r>
    <x v="26"/>
    <m/>
    <m/>
    <m/>
    <m/>
    <m/>
    <n v="4"/>
    <n v="5"/>
    <n v="850"/>
    <s v="HAMPSHIRE"/>
    <s v="Resourced Provision - Pennington Junior School"/>
    <d v="2023-09-01T00:00:00"/>
    <m/>
    <x v="5"/>
    <n v="0"/>
    <d v="2025-09-01T00:00:00"/>
    <d v="2025-12-31T00:00:00"/>
    <n v="1"/>
  </r>
  <r>
    <x v="26"/>
    <m/>
    <m/>
    <m/>
    <m/>
    <m/>
    <n v="4"/>
    <n v="5"/>
    <n v="850"/>
    <s v="HAMPSHIRE"/>
    <s v="Resourced Provision - Pennington Junior School"/>
    <d v="2024-06-19T00:00:00"/>
    <m/>
    <x v="5"/>
    <n v="0"/>
    <d v="2025-09-01T00:00:00"/>
    <d v="2025-12-31T00:00:00"/>
    <n v="1"/>
  </r>
  <r>
    <x v="26"/>
    <m/>
    <m/>
    <m/>
    <m/>
    <m/>
    <n v="6"/>
    <n v="7"/>
    <n v="850"/>
    <s v="HAMPSHIRE"/>
    <s v="Resourced Provision - Pennington Junior School"/>
    <d v="2023-04-17T00:00:00"/>
    <d v="2025-08-31T00:00:00"/>
    <x v="5"/>
    <n v="0"/>
    <s v=""/>
    <s v=""/>
    <n v="0"/>
  </r>
  <r>
    <x v="26"/>
    <m/>
    <m/>
    <m/>
    <m/>
    <m/>
    <n v="3"/>
    <n v="4"/>
    <n v="850"/>
    <s v="HAMPSHIRE"/>
    <s v="Resourced Provision - Pennington Junior School"/>
    <d v="2024-09-01T00:00:00"/>
    <m/>
    <x v="5"/>
    <n v="0"/>
    <d v="2025-09-01T00:00:00"/>
    <d v="2025-12-31T00:00:00"/>
    <n v="1"/>
  </r>
  <r>
    <x v="26"/>
    <m/>
    <m/>
    <m/>
    <m/>
    <m/>
    <n v="3"/>
    <n v="4"/>
    <n v="850"/>
    <s v="HAMPSHIRE"/>
    <s v="Resourced Provision - Pennington Junior School"/>
    <d v="2024-09-01T00:00:00"/>
    <m/>
    <x v="5"/>
    <n v="0"/>
    <d v="2025-09-01T00:00:00"/>
    <d v="2025-12-31T00:00:00"/>
    <n v="1"/>
  </r>
  <r>
    <x v="26"/>
    <m/>
    <m/>
    <m/>
    <m/>
    <m/>
    <n v="3"/>
    <n v="4"/>
    <n v="850"/>
    <s v="HAMPSHIRE"/>
    <s v="Resourced Provision - Pennington Junior School"/>
    <d v="2024-09-01T00:00:00"/>
    <m/>
    <x v="5"/>
    <n v="0"/>
    <d v="2025-09-01T00:00:00"/>
    <d v="2025-12-31T00:00:00"/>
    <n v="1"/>
  </r>
  <r>
    <x v="26"/>
    <m/>
    <m/>
    <m/>
    <m/>
    <m/>
    <n v="2"/>
    <n v="3"/>
    <n v="850"/>
    <s v="HAMPSHIRE"/>
    <s v="Resourced Provision - Pennington Junior School"/>
    <d v="2025-09-01T00:00:00"/>
    <m/>
    <x v="5"/>
    <n v="0"/>
    <d v="2025-09-01T00:00:00"/>
    <d v="2025-12-31T00:00:00"/>
    <n v="1"/>
  </r>
  <r>
    <x v="27"/>
    <m/>
    <m/>
    <m/>
    <m/>
    <m/>
    <n v="-1"/>
    <n v="0"/>
    <n v="850"/>
    <s v="HAMPSHIRE"/>
    <s v="Resourced Provision - St Judes Catholic Primary School"/>
    <d v="2025-09-01T00:00:00"/>
    <m/>
    <x v="6"/>
    <n v="0"/>
    <d v="2025-09-01T00:00:00"/>
    <d v="2025-12-31T00:00:00"/>
    <n v="1"/>
  </r>
  <r>
    <x v="27"/>
    <m/>
    <m/>
    <m/>
    <m/>
    <m/>
    <n v="5"/>
    <n v="6"/>
    <n v="850"/>
    <s v="HAMPSHIRE"/>
    <s v="Resourced Provision - St Judes Catholic Primary School"/>
    <d v="2024-09-01T00:00:00"/>
    <m/>
    <x v="6"/>
    <s v="HI"/>
    <d v="2025-09-01T00:00:00"/>
    <d v="2025-12-31T00:00:00"/>
    <n v="1"/>
  </r>
  <r>
    <x v="27"/>
    <m/>
    <m/>
    <m/>
    <m/>
    <m/>
    <n v="1"/>
    <n v="2"/>
    <n v="850"/>
    <s v="HAMPSHIRE"/>
    <s v="Resourced Provision - St Judes Catholic Primary School"/>
    <d v="2023-09-01T00:00:00"/>
    <m/>
    <x v="6"/>
    <s v="HI"/>
    <d v="2025-09-01T00:00:00"/>
    <d v="2025-12-31T00:00:00"/>
    <n v="1"/>
  </r>
  <r>
    <x v="27"/>
    <m/>
    <m/>
    <m/>
    <m/>
    <m/>
    <n v="3"/>
    <n v="4"/>
    <n v="850"/>
    <s v="HAMPSHIRE"/>
    <s v="Resourced Provision - St Judes Catholic Primary School"/>
    <d v="2023-09-01T00:00:00"/>
    <m/>
    <x v="6"/>
    <s v="HI"/>
    <d v="2025-09-01T00:00:00"/>
    <d v="2025-12-31T00:00:00"/>
    <n v="1"/>
  </r>
  <r>
    <x v="28"/>
    <m/>
    <m/>
    <m/>
    <m/>
    <m/>
    <n v="6"/>
    <n v="7"/>
    <n v="850"/>
    <s v="HAMPSHIRE"/>
    <s v="Resourced Provision - St Mark's CofE Primary"/>
    <d v="2023-09-01T00:00:00"/>
    <d v="2025-08-31T00:00:00"/>
    <x v="5"/>
    <n v="0"/>
    <s v=""/>
    <s v=""/>
    <n v="0"/>
  </r>
  <r>
    <x v="28"/>
    <m/>
    <m/>
    <m/>
    <m/>
    <m/>
    <n v="3"/>
    <n v="4"/>
    <n v="850"/>
    <s v="HAMPSHIRE"/>
    <s v="Resourced Provision - St Mark's CofE Primary"/>
    <d v="2024-09-01T00:00:00"/>
    <m/>
    <x v="5"/>
    <n v="0"/>
    <d v="2025-09-01T00:00:00"/>
    <d v="2025-12-31T00:00:00"/>
    <n v="1"/>
  </r>
  <r>
    <x v="28"/>
    <m/>
    <m/>
    <m/>
    <m/>
    <m/>
    <n v="4"/>
    <n v="5"/>
    <n v="850"/>
    <s v="HAMPSHIRE"/>
    <s v="Resourced Provision - St Mark's CofE Primary"/>
    <d v="2023-09-01T00:00:00"/>
    <m/>
    <x v="5"/>
    <n v="0"/>
    <d v="2025-09-01T00:00:00"/>
    <d v="2025-12-31T00:00:00"/>
    <n v="1"/>
  </r>
  <r>
    <x v="28"/>
    <m/>
    <m/>
    <m/>
    <m/>
    <m/>
    <n v="3"/>
    <n v="4"/>
    <n v="850"/>
    <s v="HAMPSHIRE"/>
    <s v="Resourced Provision - St Mark's CofE Primary"/>
    <d v="2024-09-01T00:00:00"/>
    <m/>
    <x v="5"/>
    <n v="0"/>
    <d v="2025-09-01T00:00:00"/>
    <d v="2025-12-31T00:00:00"/>
    <n v="1"/>
  </r>
  <r>
    <x v="28"/>
    <m/>
    <m/>
    <m/>
    <m/>
    <m/>
    <n v="1"/>
    <n v="2"/>
    <n v="850"/>
    <s v="HAMPSHIRE"/>
    <s v="Resourced Provision - St Mark's CofE Primary"/>
    <d v="2025-09-01T00:00:00"/>
    <m/>
    <x v="5"/>
    <n v="0"/>
    <d v="2025-09-01T00:00:00"/>
    <d v="2025-12-31T00:00:00"/>
    <n v="1"/>
  </r>
  <r>
    <x v="28"/>
    <m/>
    <m/>
    <m/>
    <m/>
    <m/>
    <n v="6"/>
    <n v="7"/>
    <n v="850"/>
    <s v="HAMPSHIRE"/>
    <s v="Resourced Provision - St Mark's CofE Primary"/>
    <d v="2021-06-07T00:00:00"/>
    <d v="2025-08-31T00:00:00"/>
    <x v="5"/>
    <n v="0"/>
    <s v=""/>
    <s v=""/>
    <n v="0"/>
  </r>
  <r>
    <x v="28"/>
    <m/>
    <m/>
    <m/>
    <m/>
    <m/>
    <n v="3"/>
    <n v="4"/>
    <n v="850"/>
    <s v="HAMPSHIRE"/>
    <s v="Resourced Provision - St Mark's CofE Primary"/>
    <d v="2025-09-01T00:00:00"/>
    <m/>
    <x v="5"/>
    <n v="0"/>
    <d v="2025-09-01T00:00:00"/>
    <d v="2025-12-31T00:00:00"/>
    <n v="1"/>
  </r>
  <r>
    <x v="28"/>
    <m/>
    <m/>
    <m/>
    <m/>
    <m/>
    <n v="6"/>
    <n v="7"/>
    <n v="850"/>
    <s v="HAMPSHIRE"/>
    <s v="Resourced Provision - St Mark's CofE Primary"/>
    <d v="2022-06-16T00:00:00"/>
    <d v="2025-08-31T00:00:00"/>
    <x v="5"/>
    <n v="0"/>
    <s v=""/>
    <s v=""/>
    <n v="0"/>
  </r>
  <r>
    <x v="28"/>
    <m/>
    <m/>
    <m/>
    <m/>
    <m/>
    <n v="1"/>
    <n v="2"/>
    <n v="850"/>
    <s v="HAMPSHIRE"/>
    <s v="Resourced Provision - St Mark's CofE Primary"/>
    <d v="2025-09-01T00:00:00"/>
    <m/>
    <x v="5"/>
    <n v="0"/>
    <d v="2025-09-01T00:00:00"/>
    <d v="2025-12-31T00:00:00"/>
    <n v="1"/>
  </r>
  <r>
    <x v="28"/>
    <m/>
    <m/>
    <m/>
    <m/>
    <m/>
    <n v="6"/>
    <n v="7"/>
    <n v="850"/>
    <s v="HAMPSHIRE"/>
    <s v="Resourced Provision - St Mark's CofE Primary"/>
    <d v="2024-09-01T00:00:00"/>
    <d v="2025-08-31T00:00:00"/>
    <x v="5"/>
    <n v="0"/>
    <s v=""/>
    <s v=""/>
    <n v="0"/>
  </r>
  <r>
    <x v="28"/>
    <m/>
    <m/>
    <m/>
    <m/>
    <m/>
    <n v="1"/>
    <n v="2"/>
    <n v="850"/>
    <s v="HAMPSHIRE"/>
    <s v="Resourced Provision - St Mark's CofE Primary"/>
    <d v="2025-09-01T00:00:00"/>
    <m/>
    <x v="5"/>
    <n v="0"/>
    <d v="2025-09-01T00:00:00"/>
    <d v="2025-12-31T00:00:00"/>
    <n v="1"/>
  </r>
  <r>
    <x v="29"/>
    <m/>
    <m/>
    <m/>
    <m/>
    <m/>
    <n v="9"/>
    <n v="10"/>
    <n v="850"/>
    <s v="HAMPSHIRE"/>
    <s v="Resourced Provision - Eggar's School"/>
    <d v="2022-09-01T00:00:00"/>
    <m/>
    <x v="7"/>
    <n v="0"/>
    <d v="2025-09-01T00:00:00"/>
    <d v="2025-12-31T00:00:00"/>
    <n v="1"/>
  </r>
  <r>
    <x v="29"/>
    <m/>
    <m/>
    <m/>
    <m/>
    <m/>
    <n v="11"/>
    <n v="12"/>
    <n v="850"/>
    <s v="HAMPSHIRE"/>
    <s v="Resourced Provision - Eggar's School"/>
    <d v="2020-09-01T00:00:00"/>
    <d v="2025-08-31T00:00:00"/>
    <x v="7"/>
    <n v="0"/>
    <s v=""/>
    <s v=""/>
    <n v="0"/>
  </r>
  <r>
    <x v="30"/>
    <m/>
    <m/>
    <m/>
    <m/>
    <m/>
    <n v="8"/>
    <n v="9"/>
    <n v="850"/>
    <s v="HAMPSHIRE"/>
    <s v="Resourced Provision - Oakmoor  Academy"/>
    <d v="2023-09-01T00:00:00"/>
    <m/>
    <x v="3"/>
    <n v="0"/>
    <d v="2025-09-01T00:00:00"/>
    <d v="2025-12-31T00:00:00"/>
    <n v="1"/>
  </r>
  <r>
    <x v="30"/>
    <m/>
    <m/>
    <m/>
    <m/>
    <m/>
    <n v="7"/>
    <n v="8"/>
    <n v="850"/>
    <s v="HAMPSHIRE"/>
    <s v="Resourced Provision - Oakmoor  Academy"/>
    <d v="2024-09-01T00:00:00"/>
    <m/>
    <x v="3"/>
    <n v="0"/>
    <d v="2025-09-01T00:00:00"/>
    <d v="2025-12-31T00:00:00"/>
    <n v="1"/>
  </r>
  <r>
    <x v="30"/>
    <m/>
    <m/>
    <m/>
    <m/>
    <m/>
    <n v="11"/>
    <n v="12"/>
    <n v="850"/>
    <s v="HAMPSHIRE"/>
    <s v="Resourced Provision - Oakmoor  Academy"/>
    <d v="2020-09-01T00:00:00"/>
    <d v="2025-08-31T00:00:00"/>
    <x v="3"/>
    <n v="0"/>
    <s v=""/>
    <s v=""/>
    <n v="0"/>
  </r>
  <r>
    <x v="30"/>
    <m/>
    <m/>
    <m/>
    <m/>
    <m/>
    <n v="8"/>
    <n v="9"/>
    <n v="850"/>
    <s v="HAMPSHIRE"/>
    <s v="Resourced Provision - Oakmoor  Academy"/>
    <d v="2023-09-01T00:00:00"/>
    <m/>
    <x v="3"/>
    <n v="0"/>
    <d v="2025-09-01T00:00:00"/>
    <d v="2025-12-31T00:00:00"/>
    <n v="1"/>
  </r>
  <r>
    <x v="31"/>
    <m/>
    <m/>
    <m/>
    <m/>
    <m/>
    <n v="5"/>
    <n v="6"/>
    <n v="850"/>
    <s v="HAMPSHIRE"/>
    <s v="Resourced Provision (ASC) - The Cowplain School"/>
    <d v="2025-09-01T00:00:00"/>
    <m/>
    <x v="4"/>
    <n v="0"/>
    <d v="2025-09-01T00:00:00"/>
    <d v="2025-12-31T00:00:00"/>
    <n v="1"/>
  </r>
  <r>
    <x v="31"/>
    <m/>
    <m/>
    <m/>
    <m/>
    <m/>
    <n v="9"/>
    <n v="10"/>
    <n v="850"/>
    <s v="HAMPSHIRE"/>
    <s v="Resourced Provision (ASC) - The Cowplain School"/>
    <d v="2022-09-01T00:00:00"/>
    <m/>
    <x v="4"/>
    <n v="0"/>
    <d v="2025-09-01T00:00:00"/>
    <d v="2025-12-31T00:00:00"/>
    <n v="1"/>
  </r>
  <r>
    <x v="31"/>
    <m/>
    <m/>
    <m/>
    <m/>
    <m/>
    <n v="7"/>
    <n v="8"/>
    <n v="850"/>
    <s v="HAMPSHIRE"/>
    <s v="Resourced Provision (ASC) - The Cowplain School"/>
    <d v="2024-09-01T00:00:00"/>
    <m/>
    <x v="4"/>
    <n v="0"/>
    <d v="2025-09-01T00:00:00"/>
    <d v="2025-12-31T00:00:00"/>
    <n v="1"/>
  </r>
  <r>
    <x v="31"/>
    <m/>
    <m/>
    <m/>
    <m/>
    <m/>
    <n v="7"/>
    <n v="8"/>
    <n v="850"/>
    <s v="HAMPSHIRE"/>
    <s v="Resourced Provision (ASC) - The Cowplain School"/>
    <d v="2024-09-01T00:00:00"/>
    <m/>
    <x v="4"/>
    <n v="0"/>
    <d v="2025-09-01T00:00:00"/>
    <d v="2025-12-31T00:00:00"/>
    <n v="1"/>
  </r>
  <r>
    <x v="31"/>
    <m/>
    <m/>
    <m/>
    <m/>
    <m/>
    <n v="6"/>
    <n v="7"/>
    <n v="850"/>
    <s v="HAMPSHIRE"/>
    <s v="Resourced Provision (ASC) - The Cowplain School"/>
    <d v="2025-09-01T00:00:00"/>
    <m/>
    <x v="4"/>
    <n v="0"/>
    <d v="2025-09-01T00:00:00"/>
    <d v="2025-12-31T00:00:00"/>
    <n v="1"/>
  </r>
  <r>
    <x v="31"/>
    <m/>
    <m/>
    <m/>
    <m/>
    <m/>
    <n v="8"/>
    <n v="9"/>
    <n v="850"/>
    <s v="HAMPSHIRE"/>
    <s v="Resourced Provision (ASC) - The Cowplain School"/>
    <d v="2023-09-01T00:00:00"/>
    <d v="2025-08-31T00:00:00"/>
    <x v="4"/>
    <n v="0"/>
    <s v=""/>
    <s v=""/>
    <n v="0"/>
  </r>
  <r>
    <x v="31"/>
    <m/>
    <m/>
    <m/>
    <m/>
    <m/>
    <n v="11"/>
    <n v="12"/>
    <n v="850"/>
    <s v="HAMPSHIRE"/>
    <s v="Resourced Provision (ASC) - The Cowplain School"/>
    <d v="2020-09-01T00:00:00"/>
    <d v="2025-08-31T00:00:00"/>
    <x v="4"/>
    <n v="0"/>
    <s v=""/>
    <s v=""/>
    <n v="0"/>
  </r>
  <r>
    <x v="31"/>
    <m/>
    <m/>
    <m/>
    <m/>
    <m/>
    <n v="11"/>
    <n v="12"/>
    <n v="850"/>
    <s v="HAMPSHIRE"/>
    <s v="Resourced Provision (ASC) - The Cowplain School"/>
    <d v="2020-09-01T00:00:00"/>
    <d v="2025-08-31T00:00:00"/>
    <x v="4"/>
    <n v="0"/>
    <s v=""/>
    <s v=""/>
    <n v="0"/>
  </r>
  <r>
    <x v="31"/>
    <m/>
    <m/>
    <m/>
    <m/>
    <m/>
    <n v="5"/>
    <n v="6"/>
    <n v="850"/>
    <s v="HAMPSHIRE"/>
    <s v="Resourced Provision (SPLD) - The Cowplain School"/>
    <d v="2025-09-01T00:00:00"/>
    <m/>
    <x v="7"/>
    <n v="0"/>
    <d v="2025-09-01T00:00:00"/>
    <d v="2025-12-31T00:00:00"/>
    <n v="1"/>
  </r>
  <r>
    <x v="31"/>
    <m/>
    <m/>
    <m/>
    <m/>
    <m/>
    <n v="7"/>
    <n v="8"/>
    <n v="850"/>
    <s v="HAMPSHIRE"/>
    <s v="Resourced Provision (ASC) - The Cowplain School"/>
    <d v="2024-09-01T00:00:00"/>
    <d v="2025-04-23T00:00:00"/>
    <x v="4"/>
    <n v="0"/>
    <s v=""/>
    <s v=""/>
    <n v="0"/>
  </r>
  <r>
    <x v="31"/>
    <m/>
    <m/>
    <m/>
    <m/>
    <m/>
    <n v="7"/>
    <n v="8"/>
    <n v="850"/>
    <s v="HAMPSHIRE"/>
    <s v="Resourced Provision (ASC) - The Cowplain School"/>
    <d v="2024-09-01T00:00:00"/>
    <m/>
    <x v="4"/>
    <n v="0"/>
    <d v="2025-09-01T00:00:00"/>
    <d v="2025-12-31T00:00:00"/>
    <n v="1"/>
  </r>
  <r>
    <x v="31"/>
    <m/>
    <m/>
    <m/>
    <m/>
    <m/>
    <n v="5"/>
    <n v="6"/>
    <n v="850"/>
    <s v="HAMPSHIRE"/>
    <s v="Resourced Provision (ASC) - The Cowplain School"/>
    <d v="2025-09-01T00:00:00"/>
    <m/>
    <x v="4"/>
    <n v="0"/>
    <d v="2025-09-01T00:00:00"/>
    <d v="2025-12-31T00:00:00"/>
    <n v="1"/>
  </r>
  <r>
    <x v="31"/>
    <m/>
    <m/>
    <m/>
    <m/>
    <m/>
    <n v="7"/>
    <n v="8"/>
    <n v="850"/>
    <s v="HAMPSHIRE"/>
    <s v="Resourced Provision (ASC) - The Cowplain School"/>
    <d v="2024-09-01T00:00:00"/>
    <m/>
    <x v="4"/>
    <n v="0"/>
    <d v="2025-09-01T00:00:00"/>
    <d v="2025-12-31T00:00:00"/>
    <n v="1"/>
  </r>
  <r>
    <x v="31"/>
    <m/>
    <m/>
    <m/>
    <m/>
    <m/>
    <n v="7"/>
    <n v="8"/>
    <n v="850"/>
    <s v="HAMPSHIRE"/>
    <s v="Resourced Provision (ASC) - The Cowplain School"/>
    <d v="2024-09-01T00:00:00"/>
    <m/>
    <x v="4"/>
    <n v="0"/>
    <d v="2025-09-01T00:00:00"/>
    <d v="2025-12-31T00:00:00"/>
    <n v="1"/>
  </r>
  <r>
    <x v="31"/>
    <m/>
    <m/>
    <m/>
    <m/>
    <m/>
    <n v="9"/>
    <n v="10"/>
    <n v="850"/>
    <s v="HAMPSHIRE"/>
    <s v="Resourced Provision (SPLD) - The Cowplain School"/>
    <d v="2022-09-01T00:00:00"/>
    <m/>
    <x v="7"/>
    <n v="0"/>
    <d v="2025-09-01T00:00:00"/>
    <d v="2025-12-31T00:00:00"/>
    <n v="1"/>
  </r>
  <r>
    <x v="31"/>
    <m/>
    <m/>
    <m/>
    <m/>
    <m/>
    <n v="5"/>
    <n v="6"/>
    <n v="850"/>
    <s v="HAMPSHIRE"/>
    <s v="Resourced Provision (ASC) - The Cowplain School"/>
    <d v="2025-09-01T00:00:00"/>
    <m/>
    <x v="4"/>
    <n v="0"/>
    <d v="2025-09-01T00:00:00"/>
    <d v="2025-12-31T00:00:00"/>
    <n v="1"/>
  </r>
  <r>
    <x v="31"/>
    <m/>
    <m/>
    <m/>
    <m/>
    <m/>
    <n v="9"/>
    <n v="10"/>
    <n v="850"/>
    <s v="HAMPSHIRE"/>
    <s v="Resourced Provision (ASC) - The Cowplain School"/>
    <d v="2022-09-01T00:00:00"/>
    <m/>
    <x v="4"/>
    <n v="0"/>
    <d v="2025-09-01T00:00:00"/>
    <d v="2025-12-31T00:00:00"/>
    <n v="1"/>
  </r>
  <r>
    <x v="32"/>
    <m/>
    <m/>
    <m/>
    <m/>
    <m/>
    <n v="7"/>
    <n v="8"/>
    <n v="850"/>
    <s v="HAMPSHIRE"/>
    <s v="Resourced Provision - The Toynbee School"/>
    <d v="2024-09-01T00:00:00"/>
    <m/>
    <x v="1"/>
    <s v="VI"/>
    <d v="2025-09-01T00:00:00"/>
    <d v="2025-12-31T00:00:00"/>
    <n v="1"/>
  </r>
  <r>
    <x v="32"/>
    <m/>
    <m/>
    <m/>
    <m/>
    <m/>
    <n v="7"/>
    <n v="8"/>
    <n v="850"/>
    <s v="HAMPSHIRE"/>
    <s v="Resourced Provision - The Toynbee School"/>
    <d v="2024-09-01T00:00:00"/>
    <m/>
    <x v="1"/>
    <n v="0"/>
    <d v="2025-09-01T00:00:00"/>
    <d v="2025-12-31T00:00:00"/>
    <n v="1"/>
  </r>
  <r>
    <x v="32"/>
    <m/>
    <m/>
    <m/>
    <m/>
    <m/>
    <n v="7"/>
    <n v="8"/>
    <n v="850"/>
    <s v="HAMPSHIRE"/>
    <s v="Resourced Provision - The Toynbee School"/>
    <d v="2024-09-01T00:00:00"/>
    <m/>
    <x v="1"/>
    <n v="0"/>
    <d v="2025-09-01T00:00:00"/>
    <d v="2025-12-31T00:00:00"/>
    <n v="1"/>
  </r>
  <r>
    <x v="32"/>
    <m/>
    <m/>
    <m/>
    <m/>
    <m/>
    <n v="8"/>
    <n v="9"/>
    <n v="850"/>
    <s v="HAMPSHIRE"/>
    <s v="Resourced Provision - The Toynbee School"/>
    <d v="2023-09-01T00:00:00"/>
    <m/>
    <x v="1"/>
    <n v="0"/>
    <d v="2025-09-01T00:00:00"/>
    <d v="2025-12-31T00:00:00"/>
    <n v="1"/>
  </r>
  <r>
    <x v="32"/>
    <m/>
    <m/>
    <m/>
    <m/>
    <m/>
    <n v="9"/>
    <n v="10"/>
    <n v="850"/>
    <s v="HAMPSHIRE"/>
    <s v="Resourced Provision - The Toynbee School"/>
    <d v="2022-09-01T00:00:00"/>
    <m/>
    <x v="1"/>
    <n v="0"/>
    <d v="2025-09-01T00:00:00"/>
    <d v="2025-12-31T00:00:00"/>
    <n v="1"/>
  </r>
  <r>
    <x v="32"/>
    <m/>
    <m/>
    <m/>
    <m/>
    <m/>
    <n v="10"/>
    <n v="11"/>
    <n v="850"/>
    <s v="HAMPSHIRE"/>
    <s v="Resourced Provision - The Toynbee School"/>
    <d v="2021-09-01T00:00:00"/>
    <m/>
    <x v="1"/>
    <n v="0"/>
    <d v="2025-09-01T00:00:00"/>
    <d v="2025-12-31T00:00:00"/>
    <n v="1"/>
  </r>
  <r>
    <x v="32"/>
    <m/>
    <m/>
    <m/>
    <m/>
    <m/>
    <n v="11"/>
    <n v="12"/>
    <n v="850"/>
    <s v="HAMPSHIRE"/>
    <s v="Resourced Provision - The Toynbee School"/>
    <d v="2020-09-01T00:00:00"/>
    <d v="2025-08-31T00:00:00"/>
    <x v="1"/>
    <s v="VI"/>
    <s v=""/>
    <s v=""/>
    <n v="0"/>
  </r>
  <r>
    <x v="32"/>
    <m/>
    <m/>
    <m/>
    <m/>
    <m/>
    <n v="10"/>
    <n v="11"/>
    <n v="850"/>
    <s v="HAMPSHIRE"/>
    <s v="Resourced Provision - The Toynbee School"/>
    <d v="2021-09-01T00:00:00"/>
    <m/>
    <x v="1"/>
    <n v="0"/>
    <d v="2025-09-01T00:00:00"/>
    <d v="2025-12-31T00:00:00"/>
    <n v="1"/>
  </r>
  <r>
    <x v="32"/>
    <m/>
    <m/>
    <m/>
    <m/>
    <m/>
    <n v="10"/>
    <n v="11"/>
    <n v="850"/>
    <s v="HAMPSHIRE"/>
    <s v="Resourced Provision - The Toynbee School"/>
    <d v="2021-09-02T00:00:00"/>
    <m/>
    <x v="1"/>
    <n v="0"/>
    <d v="2025-09-01T00:00:00"/>
    <d v="2025-12-31T00:00:00"/>
    <n v="1"/>
  </r>
  <r>
    <x v="32"/>
    <m/>
    <m/>
    <m/>
    <m/>
    <m/>
    <n v="10"/>
    <n v="11"/>
    <n v="850"/>
    <s v="HAMPSHIRE"/>
    <s v="Resourced Provision - The Toynbee School"/>
    <d v="2021-09-01T00:00:00"/>
    <m/>
    <x v="1"/>
    <n v="0"/>
    <d v="2025-09-01T00:00:00"/>
    <d v="2025-12-31T00:00:00"/>
    <n v="1"/>
  </r>
  <r>
    <x v="32"/>
    <m/>
    <m/>
    <m/>
    <m/>
    <m/>
    <n v="11"/>
    <n v="12"/>
    <n v="850"/>
    <s v="HAMPSHIRE"/>
    <s v="Resourced Provision - The Toynbee School"/>
    <d v="2020-09-01T00:00:00"/>
    <d v="2025-08-31T00:00:00"/>
    <x v="1"/>
    <n v="0"/>
    <s v=""/>
    <s v=""/>
    <n v="0"/>
  </r>
  <r>
    <x v="32"/>
    <m/>
    <m/>
    <m/>
    <m/>
    <m/>
    <n v="7"/>
    <n v="8"/>
    <n v="850"/>
    <s v="HAMPSHIRE"/>
    <s v="Resourced Provision - The Toynbee School"/>
    <d v="2024-09-01T00:00:00"/>
    <m/>
    <x v="1"/>
    <n v="0"/>
    <d v="2025-09-01T00:00:00"/>
    <d v="2025-12-31T00:00:00"/>
    <n v="1"/>
  </r>
  <r>
    <x v="32"/>
    <m/>
    <m/>
    <m/>
    <m/>
    <m/>
    <n v="9"/>
    <n v="10"/>
    <n v="850"/>
    <s v="HAMPSHIRE"/>
    <s v="Resourced Provision - The Toynbee School"/>
    <d v="2022-09-01T00:00:00"/>
    <m/>
    <x v="1"/>
    <n v="0"/>
    <d v="2025-09-01T00:00:00"/>
    <d v="2025-12-31T00:00:00"/>
    <n v="1"/>
  </r>
  <r>
    <x v="33"/>
    <m/>
    <m/>
    <m/>
    <m/>
    <m/>
    <n v="11"/>
    <n v="12"/>
    <n v="850"/>
    <s v="HAMPSHIRE"/>
    <s v="Resourced Provision - (PD - S) Noadswood School"/>
    <d v="2020-09-09T00:00:00"/>
    <d v="2025-08-31T00:00:00"/>
    <x v="8"/>
    <n v="0"/>
    <s v=""/>
    <s v=""/>
    <n v="0"/>
  </r>
  <r>
    <x v="33"/>
    <m/>
    <m/>
    <m/>
    <m/>
    <m/>
    <n v="10"/>
    <n v="11"/>
    <n v="850"/>
    <s v="HAMPSHIRE"/>
    <s v="Resourced Provision (SEMH) - Noadswood School"/>
    <d v="2021-09-01T00:00:00"/>
    <m/>
    <x v="5"/>
    <n v="0"/>
    <d v="2025-09-01T00:00:00"/>
    <d v="2025-12-31T00:00:00"/>
    <n v="1"/>
  </r>
  <r>
    <x v="33"/>
    <m/>
    <m/>
    <m/>
    <m/>
    <m/>
    <n v="9"/>
    <n v="10"/>
    <n v="850"/>
    <s v="HAMPSHIRE"/>
    <s v="Resourced Provision - (PD - S) Noadswood School"/>
    <d v="2022-09-01T00:00:00"/>
    <m/>
    <x v="8"/>
    <n v="0"/>
    <d v="2025-09-01T00:00:00"/>
    <d v="2025-12-31T00:00:00"/>
    <n v="1"/>
  </r>
  <r>
    <x v="33"/>
    <m/>
    <m/>
    <m/>
    <m/>
    <m/>
    <n v="8"/>
    <n v="9"/>
    <n v="850"/>
    <s v="HAMPSHIRE"/>
    <s v="Resourced Provision (SEMH) - Noadswood School"/>
    <d v="2023-09-01T00:00:00"/>
    <m/>
    <x v="5"/>
    <n v="0"/>
    <d v="2025-09-01T00:00:00"/>
    <d v="2025-12-31T00:00:00"/>
    <n v="1"/>
  </r>
  <r>
    <x v="33"/>
    <m/>
    <m/>
    <m/>
    <m/>
    <m/>
    <n v="7"/>
    <n v="8"/>
    <n v="850"/>
    <s v="HAMPSHIRE"/>
    <s v="Resourced Provision (SEMH) - Noadswood School"/>
    <d v="2024-09-01T00:00:00"/>
    <m/>
    <x v="5"/>
    <n v="0"/>
    <d v="2025-09-01T00:00:00"/>
    <d v="2025-12-31T00:00:00"/>
    <n v="1"/>
  </r>
  <r>
    <x v="33"/>
    <m/>
    <m/>
    <m/>
    <m/>
    <m/>
    <n v="7"/>
    <n v="8"/>
    <n v="850"/>
    <s v="HAMPSHIRE"/>
    <s v="Resourced Provision (SEMH) - Noadswood School"/>
    <d v="2024-12-09T00:00:00"/>
    <m/>
    <x v="5"/>
    <n v="0"/>
    <d v="2025-09-01T00:00:00"/>
    <d v="2025-12-31T00:00:00"/>
    <n v="1"/>
  </r>
  <r>
    <x v="33"/>
    <m/>
    <m/>
    <m/>
    <m/>
    <m/>
    <n v="10"/>
    <n v="11"/>
    <n v="850"/>
    <s v="HAMPSHIRE"/>
    <s v="Resourced Provision (SEMH) - Noadswood School"/>
    <d v="2021-09-01T00:00:00"/>
    <m/>
    <x v="5"/>
    <n v="0"/>
    <d v="2025-09-01T00:00:00"/>
    <d v="2025-12-31T00:00:00"/>
    <n v="1"/>
  </r>
  <r>
    <x v="33"/>
    <m/>
    <m/>
    <m/>
    <m/>
    <m/>
    <n v="9"/>
    <n v="10"/>
    <n v="850"/>
    <s v="HAMPSHIRE"/>
    <s v="Resourced Provision (SEMH) - Noadswood School"/>
    <d v="2022-09-01T00:00:00"/>
    <m/>
    <x v="5"/>
    <n v="0"/>
    <d v="2025-09-01T00:00:00"/>
    <d v="2025-12-31T00:00:00"/>
    <n v="1"/>
  </r>
  <r>
    <x v="33"/>
    <m/>
    <m/>
    <m/>
    <m/>
    <m/>
    <n v="7"/>
    <n v="8"/>
    <n v="850"/>
    <s v="HAMPSHIRE"/>
    <s v="Resourced Provision (SEMH) - Noadswood School"/>
    <d v="2025-06-23T00:00:00"/>
    <m/>
    <x v="5"/>
    <n v="0"/>
    <d v="2025-09-01T00:00:00"/>
    <d v="2025-12-31T00:00:00"/>
    <n v="1"/>
  </r>
  <r>
    <x v="33"/>
    <m/>
    <m/>
    <m/>
    <m/>
    <m/>
    <n v="8"/>
    <n v="9"/>
    <n v="850"/>
    <s v="HAMPSHIRE"/>
    <s v="Resourced Provision (SEMH) - Noadswood School"/>
    <d v="2023-09-01T00:00:00"/>
    <m/>
    <x v="5"/>
    <n v="0"/>
    <d v="2025-09-01T00:00:00"/>
    <d v="2025-12-31T00:00:00"/>
    <n v="1"/>
  </r>
  <r>
    <x v="33"/>
    <m/>
    <m/>
    <m/>
    <m/>
    <m/>
    <n v="9"/>
    <n v="10"/>
    <n v="850"/>
    <s v="HAMPSHIRE"/>
    <s v="Resourced Provision (SEMH) - Noadswood School"/>
    <d v="2022-09-01T00:00:00"/>
    <m/>
    <x v="5"/>
    <n v="0"/>
    <d v="2025-09-01T00:00:00"/>
    <d v="2025-12-31T00:00:00"/>
    <n v="1"/>
  </r>
  <r>
    <x v="33"/>
    <m/>
    <m/>
    <m/>
    <m/>
    <m/>
    <n v="8"/>
    <n v="9"/>
    <n v="850"/>
    <s v="HAMPSHIRE"/>
    <s v="Resourced Provision (SEMH) - Noadswood School"/>
    <d v="2023-09-01T00:00:00"/>
    <m/>
    <x v="5"/>
    <n v="0"/>
    <d v="2025-09-01T00:00:00"/>
    <d v="2025-12-31T00:00:00"/>
    <n v="1"/>
  </r>
  <r>
    <x v="33"/>
    <m/>
    <m/>
    <m/>
    <m/>
    <m/>
    <n v="10"/>
    <n v="11"/>
    <n v="850"/>
    <s v="HAMPSHIRE"/>
    <s v="Resourced Provision (SEMH) - Noadswood School"/>
    <d v="2022-09-01T00:00:00"/>
    <m/>
    <x v="5"/>
    <n v="0"/>
    <d v="2025-09-01T00:00:00"/>
    <d v="2025-12-31T00:00:00"/>
    <n v="1"/>
  </r>
  <r>
    <x v="33"/>
    <m/>
    <m/>
    <m/>
    <m/>
    <m/>
    <n v="8"/>
    <n v="9"/>
    <n v="850"/>
    <s v="HAMPSHIRE"/>
    <s v="Resourced Provision (SEMH) - Noadswood School"/>
    <d v="2023-09-01T00:00:00"/>
    <m/>
    <x v="5"/>
    <n v="0"/>
    <d v="2025-09-01T00:00:00"/>
    <d v="2025-12-31T00:00:00"/>
    <n v="1"/>
  </r>
  <r>
    <x v="33"/>
    <m/>
    <m/>
    <m/>
    <m/>
    <m/>
    <n v="8"/>
    <n v="9"/>
    <n v="850"/>
    <s v="HAMPSHIRE"/>
    <s v="Resourced Provision - (PD - S) Noadswood School"/>
    <d v="2023-09-01T00:00:00"/>
    <m/>
    <x v="8"/>
    <n v="0"/>
    <d v="2025-09-01T00:00:00"/>
    <d v="2025-12-31T00:00:00"/>
    <n v="1"/>
  </r>
  <r>
    <x v="33"/>
    <m/>
    <m/>
    <m/>
    <m/>
    <m/>
    <n v="10"/>
    <n v="11"/>
    <n v="850"/>
    <s v="HAMPSHIRE"/>
    <s v="Resourced Provision (SEMH) - Noadswood School"/>
    <d v="2021-09-01T00:00:00"/>
    <m/>
    <x v="5"/>
    <n v="0"/>
    <d v="2025-09-01T00:00:00"/>
    <d v="2025-12-31T00:00:00"/>
    <n v="1"/>
  </r>
  <r>
    <x v="34"/>
    <m/>
    <m/>
    <m/>
    <m/>
    <m/>
    <n v="7"/>
    <n v="8"/>
    <n v="850"/>
    <s v="HAMPSHIRE"/>
    <s v="Resourced Provision - Perins School"/>
    <d v="2025-09-01T00:00:00"/>
    <m/>
    <x v="5"/>
    <n v="0"/>
    <d v="2025-09-01T00:00:00"/>
    <d v="2025-12-31T00:00:00"/>
    <n v="1"/>
  </r>
  <r>
    <x v="34"/>
    <m/>
    <m/>
    <m/>
    <m/>
    <m/>
    <n v="8"/>
    <n v="9"/>
    <n v="850"/>
    <s v="HAMPSHIRE"/>
    <s v="Resourced Provision - Perins School"/>
    <d v="2025-02-10T00:00:00"/>
    <d v="2025-06-26T00:00:00"/>
    <x v="5"/>
    <n v="0"/>
    <s v=""/>
    <s v=""/>
    <n v="0"/>
  </r>
  <r>
    <x v="34"/>
    <m/>
    <m/>
    <m/>
    <m/>
    <m/>
    <n v="8"/>
    <n v="9"/>
    <n v="850"/>
    <s v="HAMPSHIRE"/>
    <s v="Resourced Provision - Perins School"/>
    <d v="2024-09-05T00:00:00"/>
    <m/>
    <x v="5"/>
    <n v="0"/>
    <d v="2025-09-01T00:00:00"/>
    <d v="2025-12-31T00:00:00"/>
    <n v="1"/>
  </r>
  <r>
    <x v="34"/>
    <m/>
    <m/>
    <m/>
    <m/>
    <m/>
    <n v="6"/>
    <n v="7"/>
    <n v="850"/>
    <s v="HAMPSHIRE"/>
    <s v="Resourced Provision - Perins School"/>
    <d v="2025-09-01T00:00:00"/>
    <d v="2025-10-22T00:00:00"/>
    <x v="5"/>
    <n v="0"/>
    <d v="2025-09-01T00:00:00"/>
    <d v="2025-10-22T00:00:00"/>
    <n v="0.43"/>
  </r>
  <r>
    <x v="34"/>
    <m/>
    <m/>
    <m/>
    <m/>
    <m/>
    <n v="6"/>
    <n v="7"/>
    <n v="850"/>
    <s v="HAMPSHIRE"/>
    <s v="Resourced Provision - Perins School"/>
    <d v="2025-09-01T00:00:00"/>
    <m/>
    <x v="5"/>
    <n v="0"/>
    <d v="2025-09-01T00:00:00"/>
    <d v="2025-12-31T00:00:00"/>
    <n v="1"/>
  </r>
  <r>
    <x v="34"/>
    <m/>
    <m/>
    <m/>
    <m/>
    <m/>
    <n v="6"/>
    <n v="7"/>
    <n v="850"/>
    <s v="HAMPSHIRE"/>
    <s v="Resourced Provision - Perins School"/>
    <d v="2025-09-01T00:00:00"/>
    <d v="2025-11-18T00:00:00"/>
    <x v="5"/>
    <n v="0"/>
    <d v="2025-09-01T00:00:00"/>
    <d v="2025-11-18T00:00:00"/>
    <n v="0.65"/>
  </r>
  <r>
    <x v="34"/>
    <m/>
    <m/>
    <m/>
    <m/>
    <m/>
    <n v="7"/>
    <n v="8"/>
    <n v="850"/>
    <s v="HAMPSHIRE"/>
    <s v="Resourced Provision - Perins School"/>
    <d v="2024-11-25T00:00:00"/>
    <m/>
    <x v="5"/>
    <n v="0"/>
    <d v="2025-09-01T00:00:00"/>
    <d v="2025-12-31T00:00:00"/>
    <n v="1"/>
  </r>
  <r>
    <x v="34"/>
    <m/>
    <m/>
    <m/>
    <m/>
    <m/>
    <n v="7"/>
    <n v="8"/>
    <n v="850"/>
    <s v="HAMPSHIRE"/>
    <s v="Resourced Provision - Perins School"/>
    <d v="2024-09-05T00:00:00"/>
    <m/>
    <x v="5"/>
    <n v="0"/>
    <d v="2025-09-01T00:00:00"/>
    <d v="2025-12-31T00:00:00"/>
    <n v="1"/>
  </r>
  <r>
    <x v="34"/>
    <m/>
    <m/>
    <m/>
    <m/>
    <m/>
    <n v="8"/>
    <n v="9"/>
    <n v="850"/>
    <s v="HAMPSHIRE"/>
    <s v="Resourced Provision - Perins School"/>
    <d v="2024-10-07T00:00:00"/>
    <m/>
    <x v="5"/>
    <n v="0"/>
    <d v="2025-09-01T00:00:00"/>
    <d v="2025-12-31T00:00:00"/>
    <n v="1"/>
  </r>
  <r>
    <x v="34"/>
    <m/>
    <m/>
    <m/>
    <m/>
    <m/>
    <n v="9"/>
    <n v="10"/>
    <n v="850"/>
    <s v="HAMPSHIRE"/>
    <s v="Resourced Provision - Perins School"/>
    <d v="2024-11-19T00:00:00"/>
    <m/>
    <x v="5"/>
    <n v="0"/>
    <d v="2025-09-01T00:00:00"/>
    <d v="2025-12-31T00:00:00"/>
    <n v="1"/>
  </r>
  <r>
    <x v="34"/>
    <m/>
    <m/>
    <m/>
    <m/>
    <m/>
    <n v="6"/>
    <n v="7"/>
    <n v="850"/>
    <s v="HAMPSHIRE"/>
    <s v="Resourced Provision - Perins School"/>
    <d v="2025-09-01T00:00:00"/>
    <m/>
    <x v="5"/>
    <n v="0"/>
    <d v="2025-09-01T00:00:00"/>
    <d v="2025-12-31T00:00:00"/>
    <n v="1"/>
  </r>
  <r>
    <x v="35"/>
    <m/>
    <m/>
    <m/>
    <m/>
    <m/>
    <n v="7"/>
    <n v="8"/>
    <n v="850"/>
    <s v="HAMPSHIRE"/>
    <s v="Resourced Provision - Portchester Community School"/>
    <d v="2025-09-01T00:00:00"/>
    <m/>
    <x v="9"/>
    <n v="0"/>
    <d v="2025-09-01T00:00:00"/>
    <d v="2025-12-31T00:00:00"/>
    <n v="1"/>
  </r>
  <r>
    <x v="35"/>
    <m/>
    <m/>
    <m/>
    <m/>
    <m/>
    <n v="9"/>
    <n v="10"/>
    <n v="850"/>
    <s v="HAMPSHIRE"/>
    <s v="Resourced Provision - Portchester Community School"/>
    <d v="2025-03-19T00:00:00"/>
    <m/>
    <x v="9"/>
    <n v="0"/>
    <d v="2025-09-01T00:00:00"/>
    <d v="2025-12-31T00:00:00"/>
    <n v="1"/>
  </r>
  <r>
    <x v="35"/>
    <m/>
    <m/>
    <m/>
    <m/>
    <m/>
    <n v="11"/>
    <n v="12"/>
    <n v="850"/>
    <s v="HAMPSHIRE"/>
    <s v="Resourced Provision - Portchester Community School"/>
    <d v="2020-09-01T00:00:00"/>
    <d v="2025-08-31T00:00:00"/>
    <x v="9"/>
    <n v="0"/>
    <s v=""/>
    <s v=""/>
    <n v="0"/>
  </r>
  <r>
    <x v="35"/>
    <m/>
    <m/>
    <m/>
    <m/>
    <m/>
    <n v="7"/>
    <n v="8"/>
    <n v="850"/>
    <s v="HAMPSHIRE"/>
    <s v="Resourced Provision - Portchester Community School"/>
    <d v="2024-09-01T00:00:00"/>
    <m/>
    <x v="9"/>
    <n v="0"/>
    <d v="2025-09-01T00:00:00"/>
    <d v="2025-12-31T00:00:00"/>
    <n v="1"/>
  </r>
  <r>
    <x v="35"/>
    <m/>
    <m/>
    <m/>
    <m/>
    <m/>
    <n v="11"/>
    <n v="12"/>
    <n v="850"/>
    <s v="HAMPSHIRE"/>
    <s v="Resourced Provision - Portchester Community School"/>
    <d v="2020-09-01T00:00:00"/>
    <d v="2025-08-31T00:00:00"/>
    <x v="9"/>
    <n v="0"/>
    <s v=""/>
    <s v=""/>
    <n v="0"/>
  </r>
  <r>
    <x v="35"/>
    <m/>
    <m/>
    <m/>
    <m/>
    <m/>
    <n v="10"/>
    <n v="11"/>
    <n v="850"/>
    <s v="HAMPSHIRE"/>
    <s v="Resourced Provision - Portchester Community School"/>
    <d v="2022-02-28T00:00:00"/>
    <m/>
    <x v="9"/>
    <n v="0"/>
    <d v="2025-09-01T00:00:00"/>
    <d v="2025-12-31T00:00:00"/>
    <n v="1"/>
  </r>
  <r>
    <x v="35"/>
    <m/>
    <m/>
    <m/>
    <m/>
    <m/>
    <n v="7"/>
    <n v="8"/>
    <n v="850"/>
    <s v="HAMPSHIRE"/>
    <s v="Resourced Provision - Portchester Community School"/>
    <d v="2024-09-01T00:00:00"/>
    <m/>
    <x v="9"/>
    <n v="0"/>
    <d v="2025-09-01T00:00:00"/>
    <d v="2025-12-31T00:00:00"/>
    <n v="1"/>
  </r>
  <r>
    <x v="35"/>
    <m/>
    <m/>
    <m/>
    <m/>
    <m/>
    <n v="7"/>
    <n v="8"/>
    <n v="850"/>
    <s v="HAMPSHIRE"/>
    <s v="Resourced Provision - Portchester Community School"/>
    <d v="2024-09-01T00:00:00"/>
    <m/>
    <x v="9"/>
    <n v="0"/>
    <d v="2025-09-01T00:00:00"/>
    <d v="2025-12-31T00:00:00"/>
    <n v="1"/>
  </r>
  <r>
    <x v="35"/>
    <m/>
    <m/>
    <m/>
    <m/>
    <m/>
    <n v="8"/>
    <n v="9"/>
    <n v="850"/>
    <s v="HAMPSHIRE"/>
    <s v="Resourced Provision - Portchester Community School"/>
    <d v="2023-09-01T00:00:00"/>
    <m/>
    <x v="9"/>
    <n v="0"/>
    <d v="2025-09-01T00:00:00"/>
    <d v="2025-12-31T00:00:00"/>
    <n v="1"/>
  </r>
  <r>
    <x v="35"/>
    <m/>
    <m/>
    <m/>
    <m/>
    <m/>
    <n v="9"/>
    <n v="10"/>
    <n v="850"/>
    <s v="HAMPSHIRE"/>
    <s v="Resourced Provision - Portchester Community School"/>
    <d v="2023-09-01T00:00:00"/>
    <m/>
    <x v="9"/>
    <n v="0"/>
    <d v="2025-09-01T00:00:00"/>
    <d v="2025-12-31T00:00:00"/>
    <n v="1"/>
  </r>
  <r>
    <x v="35"/>
    <m/>
    <m/>
    <m/>
    <m/>
    <m/>
    <n v="8"/>
    <n v="9"/>
    <n v="850"/>
    <s v="HAMPSHIRE"/>
    <s v="Resourced Provision - Portchester Community School"/>
    <d v="2023-09-01T00:00:00"/>
    <m/>
    <x v="9"/>
    <n v="0"/>
    <d v="2025-09-01T00:00:00"/>
    <d v="2025-12-31T00:00:00"/>
    <n v="1"/>
  </r>
  <r>
    <x v="36"/>
    <m/>
    <m/>
    <m/>
    <m/>
    <m/>
    <n v="10"/>
    <n v="11"/>
    <n v="850"/>
    <s v="HAMPSHIRE"/>
    <s v="Resourced Provision (ASC) - The Romsey School"/>
    <d v="2022-09-01T00:00:00"/>
    <m/>
    <x v="4"/>
    <n v="0"/>
    <d v="2025-09-01T00:00:00"/>
    <d v="2025-12-31T00:00:00"/>
    <n v="1"/>
  </r>
  <r>
    <x v="36"/>
    <m/>
    <m/>
    <m/>
    <m/>
    <m/>
    <n v="6"/>
    <n v="7"/>
    <n v="850"/>
    <s v="HAMPSHIRE"/>
    <s v="Resourced Provision (ASC) - The Romsey School"/>
    <d v="2025-09-01T00:00:00"/>
    <m/>
    <x v="4"/>
    <n v="0"/>
    <d v="2025-09-01T00:00:00"/>
    <d v="2025-12-31T00:00:00"/>
    <n v="1"/>
  </r>
  <r>
    <x v="36"/>
    <m/>
    <m/>
    <m/>
    <m/>
    <m/>
    <n v="8"/>
    <n v="9"/>
    <n v="850"/>
    <s v="HAMPSHIRE"/>
    <s v="Resourced Provision (ASC) - The Romsey School"/>
    <d v="2024-09-01T00:00:00"/>
    <m/>
    <x v="4"/>
    <n v="0"/>
    <d v="2025-09-01T00:00:00"/>
    <d v="2025-12-31T00:00:00"/>
    <n v="1"/>
  </r>
  <r>
    <x v="36"/>
    <m/>
    <m/>
    <m/>
    <m/>
    <m/>
    <n v="9"/>
    <n v="10"/>
    <n v="850"/>
    <s v="HAMPSHIRE"/>
    <s v="Resourced Provision (ASC) - The Romsey School"/>
    <d v="2023-09-01T00:00:00"/>
    <m/>
    <x v="4"/>
    <n v="0"/>
    <d v="2025-09-01T00:00:00"/>
    <d v="2025-12-31T00:00:00"/>
    <n v="1"/>
  </r>
  <r>
    <x v="36"/>
    <m/>
    <m/>
    <m/>
    <m/>
    <m/>
    <n v="9"/>
    <n v="10"/>
    <n v="850"/>
    <s v="HAMPSHIRE"/>
    <s v="Resourced Provision (ASC) - The Romsey School"/>
    <d v="2022-09-01T00:00:00"/>
    <m/>
    <x v="4"/>
    <n v="0"/>
    <d v="2025-09-01T00:00:00"/>
    <d v="2025-12-31T00:00:00"/>
    <n v="1"/>
  </r>
  <r>
    <x v="36"/>
    <m/>
    <m/>
    <m/>
    <m/>
    <m/>
    <n v="7"/>
    <n v="8"/>
    <n v="850"/>
    <s v="HAMPSHIRE"/>
    <s v="Resourced Provision (ASC) - The Romsey School"/>
    <d v="2024-09-01T00:00:00"/>
    <m/>
    <x v="4"/>
    <n v="0"/>
    <d v="2025-09-01T00:00:00"/>
    <d v="2025-12-31T00:00:00"/>
    <n v="1"/>
  </r>
  <r>
    <x v="36"/>
    <m/>
    <m/>
    <m/>
    <m/>
    <m/>
    <n v="7"/>
    <n v="8"/>
    <n v="850"/>
    <s v="HAMPSHIRE"/>
    <s v="Resourced Provision (ASC) - The Romsey School"/>
    <d v="2024-09-01T00:00:00"/>
    <m/>
    <x v="4"/>
    <n v="0"/>
    <d v="2025-09-01T00:00:00"/>
    <d v="2025-12-31T00:00:00"/>
    <n v="1"/>
  </r>
  <r>
    <x v="36"/>
    <m/>
    <m/>
    <m/>
    <m/>
    <m/>
    <n v="6"/>
    <n v="7"/>
    <n v="850"/>
    <s v="HAMPSHIRE"/>
    <s v="Resourced Provision (ASC) - The Romsey School"/>
    <d v="2025-09-01T00:00:00"/>
    <m/>
    <x v="4"/>
    <n v="0"/>
    <d v="2025-09-01T00:00:00"/>
    <d v="2025-12-31T00:00:00"/>
    <n v="1"/>
  </r>
  <r>
    <x v="36"/>
    <m/>
    <m/>
    <m/>
    <m/>
    <m/>
    <n v="9"/>
    <n v="10"/>
    <n v="850"/>
    <s v="HAMPSHIRE"/>
    <s v="Resourced Provision (ASC) - The Romsey School"/>
    <d v="2022-09-01T00:00:00"/>
    <m/>
    <x v="4"/>
    <n v="0"/>
    <d v="2025-09-01T00:00:00"/>
    <d v="2025-12-31T00:00:00"/>
    <n v="1"/>
  </r>
  <r>
    <x v="36"/>
    <m/>
    <m/>
    <m/>
    <m/>
    <m/>
    <n v="7"/>
    <n v="8"/>
    <n v="850"/>
    <s v="HAMPSHIRE"/>
    <s v="Resourced Provision (ASC) - The Romsey School"/>
    <d v="2024-09-01T00:00:00"/>
    <m/>
    <x v="4"/>
    <n v="0"/>
    <d v="2025-09-01T00:00:00"/>
    <d v="2025-12-31T00:00:00"/>
    <n v="1"/>
  </r>
  <r>
    <x v="36"/>
    <m/>
    <m/>
    <m/>
    <m/>
    <m/>
    <n v="8"/>
    <n v="9"/>
    <n v="850"/>
    <s v="HAMPSHIRE"/>
    <s v="Resourced Provision (ASC) - The Romsey School"/>
    <d v="2023-09-01T00:00:00"/>
    <m/>
    <x v="4"/>
    <n v="0"/>
    <d v="2025-09-01T00:00:00"/>
    <d v="2025-12-31T00:00:00"/>
    <n v="1"/>
  </r>
  <r>
    <x v="36"/>
    <m/>
    <m/>
    <m/>
    <m/>
    <m/>
    <n v="9"/>
    <n v="10"/>
    <n v="850"/>
    <s v="HAMPSHIRE"/>
    <s v="Resourced Provision (ASC) - The Romsey School"/>
    <d v="2022-09-01T00:00:00"/>
    <m/>
    <x v="4"/>
    <n v="0"/>
    <d v="2025-09-01T00:00:00"/>
    <d v="2025-12-31T00:00:00"/>
    <n v="1"/>
  </r>
  <r>
    <x v="36"/>
    <m/>
    <m/>
    <m/>
    <m/>
    <m/>
    <n v="10"/>
    <n v="11"/>
    <n v="850"/>
    <s v="HAMPSHIRE"/>
    <s v="Resourced Provision (ASC) - The Romsey School"/>
    <d v="2024-09-01T00:00:00"/>
    <m/>
    <x v="4"/>
    <n v="0"/>
    <d v="2025-09-01T00:00:00"/>
    <d v="2025-12-31T00:00:00"/>
    <n v="1"/>
  </r>
  <r>
    <x v="36"/>
    <m/>
    <m/>
    <m/>
    <m/>
    <m/>
    <n v="6"/>
    <n v="7"/>
    <n v="850"/>
    <s v="HAMPSHIRE"/>
    <s v="Resourced Provision (ASC) - The Romsey School"/>
    <d v="2025-09-01T00:00:00"/>
    <m/>
    <x v="4"/>
    <n v="0"/>
    <d v="2025-09-01T00:00:00"/>
    <d v="2025-12-31T00:00:00"/>
    <n v="1"/>
  </r>
  <r>
    <x v="36"/>
    <m/>
    <m/>
    <m/>
    <m/>
    <m/>
    <n v="10"/>
    <n v="11"/>
    <n v="850"/>
    <s v="HAMPSHIRE"/>
    <s v="Resourced Provision (ASC) - The Romsey School"/>
    <d v="2022-01-01T00:00:00"/>
    <m/>
    <x v="4"/>
    <n v="0"/>
    <d v="2025-09-01T00:00:00"/>
    <d v="2025-12-31T00:00:00"/>
    <n v="1"/>
  </r>
  <r>
    <x v="36"/>
    <m/>
    <m/>
    <m/>
    <m/>
    <m/>
    <n v="6"/>
    <n v="7"/>
    <n v="850"/>
    <s v="HAMPSHIRE"/>
    <s v="Resourced Provision (ASC) - The Romsey School"/>
    <d v="2025-09-01T00:00:00"/>
    <m/>
    <x v="4"/>
    <n v="0"/>
    <d v="2025-09-01T00:00:00"/>
    <d v="2025-12-31T00:00:00"/>
    <n v="1"/>
  </r>
  <r>
    <x v="36"/>
    <m/>
    <m/>
    <m/>
    <m/>
    <m/>
    <n v="8"/>
    <n v="9"/>
    <n v="850"/>
    <s v="HAMPSHIRE"/>
    <s v="Resourced Provision (ASC) - The Romsey School"/>
    <d v="2023-09-01T00:00:00"/>
    <m/>
    <x v="4"/>
    <n v="0"/>
    <d v="2025-09-01T00:00:00"/>
    <d v="2025-12-31T00:00:00"/>
    <n v="1"/>
  </r>
  <r>
    <x v="36"/>
    <m/>
    <m/>
    <m/>
    <m/>
    <m/>
    <n v="11"/>
    <n v="12"/>
    <n v="850"/>
    <s v="HAMPSHIRE"/>
    <s v="Resourced Provision (ASC) - The Romsey School"/>
    <d v="2020-10-29T00:00:00"/>
    <d v="2025-08-31T00:00:00"/>
    <x v="4"/>
    <n v="0"/>
    <s v=""/>
    <s v=""/>
    <n v="0"/>
  </r>
  <r>
    <x v="36"/>
    <m/>
    <m/>
    <m/>
    <m/>
    <m/>
    <n v="11"/>
    <n v="12"/>
    <n v="850"/>
    <s v="HAMPSHIRE"/>
    <s v="Resourced Provision (ASC) - The Romsey School"/>
    <d v="2022-09-01T00:00:00"/>
    <d v="2025-08-31T00:00:00"/>
    <x v="4"/>
    <n v="0"/>
    <s v=""/>
    <s v=""/>
    <n v="0"/>
  </r>
  <r>
    <x v="37"/>
    <m/>
    <m/>
    <m/>
    <m/>
    <m/>
    <n v="6"/>
    <n v="7"/>
    <n v="850"/>
    <s v="HAMPSHIRE"/>
    <s v="Resourced Provision - Crookhorn College "/>
    <d v="2025-09-01T00:00:00"/>
    <m/>
    <x v="4"/>
    <n v="0"/>
    <d v="2025-09-01T00:00:00"/>
    <d v="2025-12-31T00:00:00"/>
    <n v="1"/>
  </r>
  <r>
    <x v="37"/>
    <m/>
    <m/>
    <m/>
    <m/>
    <m/>
    <n v="8"/>
    <n v="9"/>
    <n v="850"/>
    <s v="HAMPSHIRE"/>
    <s v="Resourced Provision - Crookhorn College "/>
    <d v="2025-09-01T00:00:00"/>
    <m/>
    <x v="4"/>
    <n v="0"/>
    <d v="2025-09-01T00:00:00"/>
    <d v="2025-12-31T00:00:00"/>
    <n v="1"/>
  </r>
  <r>
    <x v="37"/>
    <m/>
    <m/>
    <m/>
    <m/>
    <m/>
    <n v="6"/>
    <n v="7"/>
    <n v="850"/>
    <s v="HAMPSHIRE"/>
    <s v="Resourced Provision - Crookhorn College "/>
    <d v="2025-09-01T00:00:00"/>
    <m/>
    <x v="4"/>
    <n v="0"/>
    <d v="2025-09-01T00:00:00"/>
    <d v="2025-12-31T00:00:00"/>
    <n v="1"/>
  </r>
  <r>
    <x v="37"/>
    <m/>
    <m/>
    <m/>
    <m/>
    <m/>
    <n v="6"/>
    <n v="7"/>
    <n v="850"/>
    <s v="HAMPSHIRE"/>
    <s v="Resourced Provision - Crookhorn College "/>
    <d v="2025-09-01T00:00:00"/>
    <m/>
    <x v="4"/>
    <n v="0"/>
    <d v="2025-09-01T00:00:00"/>
    <d v="2025-12-31T00:00:00"/>
    <n v="1"/>
  </r>
  <r>
    <x v="37"/>
    <m/>
    <m/>
    <m/>
    <m/>
    <m/>
    <n v="6"/>
    <n v="7"/>
    <n v="850"/>
    <s v="HAMPSHIRE"/>
    <s v="Resourced Provision - Crookhorn College "/>
    <d v="2025-09-01T00:00:00"/>
    <m/>
    <x v="4"/>
    <n v="0"/>
    <d v="2025-09-01T00:00:00"/>
    <d v="2025-12-31T00:00:00"/>
    <n v="1"/>
  </r>
  <r>
    <x v="38"/>
    <m/>
    <m/>
    <m/>
    <m/>
    <m/>
    <n v="9"/>
    <n v="10"/>
    <n v="850"/>
    <s v="HAMPSHIRE"/>
    <s v="Resourced Provision (SPLD) - Cranbourne"/>
    <d v="2022-09-01T00:00:00"/>
    <m/>
    <x v="7"/>
    <n v="0"/>
    <d v="2025-09-01T00:00:00"/>
    <d v="2025-12-31T00:00:00"/>
    <n v="1"/>
  </r>
  <r>
    <x v="38"/>
    <m/>
    <m/>
    <m/>
    <m/>
    <m/>
    <n v="6"/>
    <n v="7"/>
    <n v="850"/>
    <s v="HAMPSHIRE"/>
    <s v="Resourced Provision (SPLD) - Cranbourne"/>
    <d v="2025-09-01T00:00:00"/>
    <m/>
    <x v="7"/>
    <n v="0"/>
    <d v="2025-09-01T00:00:00"/>
    <d v="2025-12-31T00:00:00"/>
    <n v="1"/>
  </r>
  <r>
    <x v="38"/>
    <m/>
    <m/>
    <m/>
    <m/>
    <m/>
    <n v="9"/>
    <n v="10"/>
    <n v="850"/>
    <s v="HAMPSHIRE"/>
    <s v="Resourced Provision (SPLD) - Cranbourne"/>
    <d v="2022-09-01T00:00:00"/>
    <m/>
    <x v="7"/>
    <n v="0"/>
    <d v="2025-09-01T00:00:00"/>
    <d v="2025-12-31T00:00:00"/>
    <n v="1"/>
  </r>
  <r>
    <x v="38"/>
    <m/>
    <m/>
    <m/>
    <m/>
    <m/>
    <n v="9"/>
    <n v="10"/>
    <n v="850"/>
    <s v="HAMPSHIRE"/>
    <s v="Resourced Provision (SPLD) - Cranbourne"/>
    <d v="2022-09-01T00:00:00"/>
    <m/>
    <x v="7"/>
    <n v="0"/>
    <d v="2025-09-01T00:00:00"/>
    <d v="2025-12-31T00:00:00"/>
    <n v="1"/>
  </r>
  <r>
    <x v="38"/>
    <m/>
    <m/>
    <m/>
    <m/>
    <m/>
    <n v="10"/>
    <n v="11"/>
    <n v="850"/>
    <s v="HAMPSHIRE"/>
    <s v="Resourced Provision (SPLD) - Cranbourne"/>
    <d v="2021-09-01T00:00:00"/>
    <m/>
    <x v="7"/>
    <n v="0"/>
    <d v="2025-09-01T00:00:00"/>
    <d v="2025-12-31T00:00:00"/>
    <n v="1"/>
  </r>
  <r>
    <x v="38"/>
    <m/>
    <m/>
    <m/>
    <m/>
    <m/>
    <n v="8"/>
    <n v="9"/>
    <n v="850"/>
    <s v="HAMPSHIRE"/>
    <s v="Resourced Provision (SPLD) - Cranbourne"/>
    <d v="2023-09-01T00:00:00"/>
    <m/>
    <x v="7"/>
    <n v="0"/>
    <d v="2025-09-01T00:00:00"/>
    <d v="2025-12-31T00:00:00"/>
    <n v="1"/>
  </r>
  <r>
    <x v="38"/>
    <m/>
    <m/>
    <m/>
    <m/>
    <m/>
    <n v="6"/>
    <n v="7"/>
    <n v="850"/>
    <s v="HAMPSHIRE"/>
    <s v="Resourced Provision (SPLD) - Cranbourne"/>
    <d v="2024-09-01T00:00:00"/>
    <m/>
    <x v="7"/>
    <n v="0"/>
    <d v="2025-09-01T00:00:00"/>
    <d v="2025-12-31T00:00:00"/>
    <n v="1"/>
  </r>
  <r>
    <x v="38"/>
    <m/>
    <m/>
    <m/>
    <m/>
    <m/>
    <n v="11"/>
    <n v="12"/>
    <n v="850"/>
    <s v="HAMPSHIRE"/>
    <s v="Resourced Provision (SPLD) - Cranbourne"/>
    <d v="2020-09-01T00:00:00"/>
    <d v="2025-08-31T00:00:00"/>
    <x v="7"/>
    <n v="0"/>
    <s v=""/>
    <s v=""/>
    <n v="0"/>
  </r>
  <r>
    <x v="38"/>
    <m/>
    <m/>
    <m/>
    <m/>
    <m/>
    <n v="8"/>
    <n v="9"/>
    <n v="850"/>
    <s v="HAMPSHIRE"/>
    <s v="Resourced Provision (SPLD) - Cranbourne"/>
    <d v="2023-09-01T00:00:00"/>
    <m/>
    <x v="7"/>
    <n v="0"/>
    <d v="2025-09-01T00:00:00"/>
    <d v="2025-12-31T00:00:00"/>
    <n v="1"/>
  </r>
  <r>
    <x v="38"/>
    <m/>
    <m/>
    <m/>
    <m/>
    <m/>
    <n v="9"/>
    <n v="10"/>
    <n v="850"/>
    <s v="HAMPSHIRE"/>
    <s v="Resourced Provision (SPLD) - Cranbourne"/>
    <d v="2022-09-01T00:00:00"/>
    <m/>
    <x v="7"/>
    <n v="0"/>
    <d v="2025-09-01T00:00:00"/>
    <d v="2025-12-31T00:00:00"/>
    <n v="1"/>
  </r>
  <r>
    <x v="38"/>
    <m/>
    <m/>
    <m/>
    <m/>
    <m/>
    <n v="10"/>
    <n v="11"/>
    <n v="850"/>
    <s v="HAMPSHIRE"/>
    <s v="Resourced Provision (SPLD) - Cranbourne"/>
    <d v="2021-09-01T00:00:00"/>
    <m/>
    <x v="7"/>
    <n v="0"/>
    <d v="2025-09-01T00:00:00"/>
    <d v="2025-12-31T00:00:00"/>
    <n v="1"/>
  </r>
  <r>
    <x v="38"/>
    <m/>
    <m/>
    <m/>
    <m/>
    <m/>
    <n v="7"/>
    <n v="8"/>
    <n v="850"/>
    <s v="HAMPSHIRE"/>
    <s v="Resourced Provision (SPLD) - Cranbourne"/>
    <d v="2024-09-01T00:00:00"/>
    <m/>
    <x v="7"/>
    <n v="0"/>
    <d v="2025-09-01T00:00:00"/>
    <d v="2025-12-31T00:00:00"/>
    <n v="1"/>
  </r>
  <r>
    <x v="38"/>
    <m/>
    <m/>
    <m/>
    <m/>
    <m/>
    <n v="7"/>
    <n v="8"/>
    <n v="850"/>
    <s v="HAMPSHIRE"/>
    <s v="Resourced Provision (SPLD) - Cranbourne"/>
    <d v="2024-09-01T00:00:00"/>
    <m/>
    <x v="7"/>
    <n v="0"/>
    <d v="2025-09-01T00:00:00"/>
    <d v="2025-12-31T00:00:00"/>
    <n v="1"/>
  </r>
  <r>
    <x v="38"/>
    <m/>
    <m/>
    <m/>
    <m/>
    <m/>
    <n v="6"/>
    <n v="7"/>
    <n v="850"/>
    <s v="HAMPSHIRE"/>
    <s v="Resourced Provision (SPLD) - Cranbourne"/>
    <d v="2025-09-01T00:00:00"/>
    <m/>
    <x v="7"/>
    <n v="0"/>
    <d v="2025-09-01T00:00:00"/>
    <d v="2025-12-31T00:00:00"/>
    <n v="1"/>
  </r>
  <r>
    <x v="38"/>
    <m/>
    <m/>
    <m/>
    <m/>
    <m/>
    <n v="10"/>
    <n v="11"/>
    <n v="850"/>
    <s v="HAMPSHIRE"/>
    <s v="Resourced Provision (SPLD) - Cranbourne"/>
    <d v="2023-09-01T00:00:00"/>
    <m/>
    <x v="7"/>
    <n v="0"/>
    <d v="2025-09-01T00:00:00"/>
    <d v="2025-12-31T00:00:00"/>
    <n v="1"/>
  </r>
  <r>
    <x v="38"/>
    <m/>
    <m/>
    <m/>
    <m/>
    <m/>
    <n v="8"/>
    <n v="9"/>
    <n v="850"/>
    <s v="HAMPSHIRE"/>
    <s v="Resourced Provision (SPLD) - Cranbourne"/>
    <d v="2023-09-01T00:00:00"/>
    <m/>
    <x v="7"/>
    <n v="0"/>
    <d v="2025-09-01T00:00:00"/>
    <d v="2025-12-31T00:00:00"/>
    <n v="1"/>
  </r>
  <r>
    <x v="38"/>
    <m/>
    <m/>
    <m/>
    <m/>
    <m/>
    <n v="9"/>
    <n v="10"/>
    <n v="850"/>
    <s v="HAMPSHIRE"/>
    <s v="Resourced Provision (SPLD) - Cranbourne"/>
    <d v="2022-09-01T00:00:00"/>
    <m/>
    <x v="7"/>
    <n v="0"/>
    <d v="2025-09-01T00:00:00"/>
    <d v="2025-12-31T00:00:00"/>
    <n v="1"/>
  </r>
  <r>
    <x v="39"/>
    <m/>
    <m/>
    <m/>
    <m/>
    <m/>
    <n v="7"/>
    <n v="8"/>
    <n v="850"/>
    <s v="HAMPSHIRE"/>
    <s v="Resourced Provision - Horndean Technology College"/>
    <d v="2025-05-12T00:00:00"/>
    <m/>
    <x v="4"/>
    <n v="0"/>
    <d v="2025-09-01T00:00:00"/>
    <d v="2025-12-31T00:00:00"/>
    <n v="1"/>
  </r>
  <r>
    <x v="39"/>
    <m/>
    <m/>
    <m/>
    <m/>
    <m/>
    <n v="8"/>
    <n v="9"/>
    <n v="850"/>
    <s v="HAMPSHIRE"/>
    <s v="Resourced Provision - Horndean Technology College"/>
    <d v="2023-09-01T00:00:00"/>
    <m/>
    <x v="4"/>
    <n v="0"/>
    <d v="2025-09-01T00:00:00"/>
    <d v="2025-12-31T00:00:00"/>
    <n v="1"/>
  </r>
  <r>
    <x v="39"/>
    <m/>
    <m/>
    <m/>
    <m/>
    <m/>
    <n v="8"/>
    <n v="9"/>
    <n v="850"/>
    <s v="HAMPSHIRE"/>
    <s v="Resourced Provision - Horndean Technology College"/>
    <d v="2023-09-01T00:00:00"/>
    <m/>
    <x v="4"/>
    <n v="0"/>
    <d v="2025-09-01T00:00:00"/>
    <d v="2025-12-31T00:00:00"/>
    <n v="1"/>
  </r>
  <r>
    <x v="39"/>
    <m/>
    <m/>
    <m/>
    <m/>
    <m/>
    <n v="11"/>
    <n v="12"/>
    <n v="850"/>
    <s v="HAMPSHIRE"/>
    <s v="Resourced Provision - Horndean Technology College"/>
    <d v="2020-09-01T00:00:00"/>
    <d v="2025-08-31T00:00:00"/>
    <x v="4"/>
    <n v="0"/>
    <s v=""/>
    <s v=""/>
    <n v="0"/>
  </r>
  <r>
    <x v="39"/>
    <m/>
    <m/>
    <m/>
    <m/>
    <m/>
    <n v="11"/>
    <n v="12"/>
    <n v="850"/>
    <s v="HAMPSHIRE"/>
    <s v="Resourced Provision - Horndean Technology College"/>
    <d v="2020-09-01T00:00:00"/>
    <d v="2025-08-31T00:00:00"/>
    <x v="4"/>
    <n v="0"/>
    <s v=""/>
    <s v=""/>
    <n v="0"/>
  </r>
  <r>
    <x v="39"/>
    <m/>
    <m/>
    <m/>
    <m/>
    <m/>
    <n v="11"/>
    <n v="12"/>
    <n v="850"/>
    <s v="HAMPSHIRE"/>
    <s v="Resourced Provision - Horndean Technology College"/>
    <d v="2020-09-01T00:00:00"/>
    <d v="2025-08-31T00:00:00"/>
    <x v="4"/>
    <n v="0"/>
    <s v=""/>
    <s v=""/>
    <n v="0"/>
  </r>
  <r>
    <x v="39"/>
    <m/>
    <m/>
    <m/>
    <m/>
    <m/>
    <n v="9"/>
    <n v="10"/>
    <n v="850"/>
    <s v="HAMPSHIRE"/>
    <s v="Resourced Provision - Horndean Technology College"/>
    <d v="2022-09-01T00:00:00"/>
    <m/>
    <x v="4"/>
    <n v="0"/>
    <d v="2025-09-01T00:00:00"/>
    <d v="2025-12-31T00:00:00"/>
    <n v="1"/>
  </r>
  <r>
    <x v="39"/>
    <m/>
    <m/>
    <m/>
    <m/>
    <m/>
    <n v="9"/>
    <n v="10"/>
    <n v="850"/>
    <s v="HAMPSHIRE"/>
    <s v="Resourced Provision - Horndean Technology College"/>
    <d v="2022-09-01T00:00:00"/>
    <m/>
    <x v="4"/>
    <n v="0"/>
    <d v="2025-09-01T00:00:00"/>
    <d v="2025-12-31T00:00:00"/>
    <n v="1"/>
  </r>
  <r>
    <x v="39"/>
    <m/>
    <m/>
    <m/>
    <m/>
    <m/>
    <n v="8"/>
    <n v="9"/>
    <n v="850"/>
    <s v="HAMPSHIRE"/>
    <s v="Resourced Provision - Horndean Technology College"/>
    <d v="2023-09-01T00:00:00"/>
    <m/>
    <x v="4"/>
    <n v="0"/>
    <d v="2025-09-01T00:00:00"/>
    <d v="2025-12-31T00:00:00"/>
    <n v="1"/>
  </r>
  <r>
    <x v="39"/>
    <m/>
    <m/>
    <m/>
    <m/>
    <m/>
    <n v="9"/>
    <n v="10"/>
    <n v="850"/>
    <s v="HAMPSHIRE"/>
    <s v="Resourced Provision - Horndean Technology College"/>
    <d v="2024-09-01T00:00:00"/>
    <m/>
    <x v="4"/>
    <n v="0"/>
    <d v="2025-09-01T00:00:00"/>
    <d v="2025-12-31T00:00:00"/>
    <n v="1"/>
  </r>
  <r>
    <x v="39"/>
    <m/>
    <m/>
    <m/>
    <m/>
    <m/>
    <n v="9"/>
    <n v="10"/>
    <n v="850"/>
    <s v="HAMPSHIRE"/>
    <s v="Resourced Provision - Horndean Technology College"/>
    <d v="2022-09-01T00:00:00"/>
    <m/>
    <x v="4"/>
    <n v="0"/>
    <d v="2025-09-01T00:00:00"/>
    <d v="2025-12-31T00:00:00"/>
    <n v="1"/>
  </r>
  <r>
    <x v="39"/>
    <m/>
    <m/>
    <m/>
    <m/>
    <m/>
    <n v="8"/>
    <n v="9"/>
    <n v="850"/>
    <s v="HAMPSHIRE"/>
    <s v="Resourced Provision - Horndean Technology College"/>
    <d v="2023-09-01T00:00:00"/>
    <m/>
    <x v="4"/>
    <n v="0"/>
    <d v="2025-09-01T00:00:00"/>
    <d v="2025-12-31T00:00:00"/>
    <n v="1"/>
  </r>
  <r>
    <x v="39"/>
    <m/>
    <m/>
    <m/>
    <m/>
    <m/>
    <n v="6"/>
    <n v="7"/>
    <n v="850"/>
    <s v="HAMPSHIRE"/>
    <s v="Resourced Provision - Horndean Technology College"/>
    <d v="2025-09-01T00:00:00"/>
    <m/>
    <x v="4"/>
    <n v="0"/>
    <d v="2025-09-01T00:00:00"/>
    <d v="2025-12-31T00:00:00"/>
    <n v="1"/>
  </r>
  <r>
    <x v="39"/>
    <m/>
    <m/>
    <m/>
    <m/>
    <m/>
    <n v="10"/>
    <n v="11"/>
    <n v="850"/>
    <s v="HAMPSHIRE"/>
    <s v="Resourced Provision - Horndean Technology College"/>
    <d v="2021-09-01T00:00:00"/>
    <m/>
    <x v="4"/>
    <n v="0"/>
    <d v="2025-09-01T00:00:00"/>
    <d v="2025-12-31T00:00:00"/>
    <n v="1"/>
  </r>
  <r>
    <x v="39"/>
    <m/>
    <m/>
    <m/>
    <m/>
    <m/>
    <n v="6"/>
    <n v="7"/>
    <n v="850"/>
    <s v="HAMPSHIRE"/>
    <s v="Resourced Provision - Horndean Technology College"/>
    <d v="2025-09-01T00:00:00"/>
    <m/>
    <x v="4"/>
    <n v="0"/>
    <d v="2025-09-01T00:00:00"/>
    <d v="2025-12-31T00:00:00"/>
    <n v="1"/>
  </r>
  <r>
    <x v="39"/>
    <m/>
    <m/>
    <m/>
    <m/>
    <m/>
    <n v="7"/>
    <n v="8"/>
    <n v="850"/>
    <s v="HAMPSHIRE"/>
    <s v="Resourced Provision - Horndean Technology College"/>
    <d v="2024-09-01T00:00:00"/>
    <m/>
    <x v="4"/>
    <n v="0"/>
    <d v="2025-09-01T00:00:00"/>
    <d v="2025-12-31T00:00:00"/>
    <n v="1"/>
  </r>
  <r>
    <x v="39"/>
    <m/>
    <m/>
    <m/>
    <m/>
    <m/>
    <n v="8"/>
    <n v="9"/>
    <n v="850"/>
    <s v="HAMPSHIRE"/>
    <s v="Resourced Provision - Horndean Technology College"/>
    <d v="2023-09-01T00:00:00"/>
    <m/>
    <x v="4"/>
    <n v="0"/>
    <d v="2025-09-01T00:00:00"/>
    <d v="2025-12-31T00:00:00"/>
    <n v="1"/>
  </r>
  <r>
    <x v="39"/>
    <m/>
    <m/>
    <m/>
    <m/>
    <m/>
    <n v="11"/>
    <n v="12"/>
    <n v="850"/>
    <s v="HAMPSHIRE"/>
    <s v="Resourced Provision - Horndean Technology College"/>
    <d v="2020-09-01T00:00:00"/>
    <d v="2025-08-31T00:00:00"/>
    <x v="4"/>
    <n v="0"/>
    <s v=""/>
    <s v=""/>
    <n v="0"/>
  </r>
  <r>
    <x v="39"/>
    <m/>
    <m/>
    <m/>
    <m/>
    <m/>
    <n v="10"/>
    <n v="11"/>
    <n v="850"/>
    <s v="HAMPSHIRE"/>
    <s v="Resourced Provision - Horndean Technology College"/>
    <d v="2021-09-01T00:00:00"/>
    <m/>
    <x v="4"/>
    <n v="0"/>
    <d v="2025-09-01T00:00:00"/>
    <d v="2025-12-31T00:00:00"/>
    <n v="1"/>
  </r>
  <r>
    <x v="39"/>
    <m/>
    <m/>
    <m/>
    <m/>
    <m/>
    <n v="6"/>
    <n v="7"/>
    <n v="850"/>
    <s v="HAMPSHIRE"/>
    <s v="Resourced Provision - Horndean Technology College"/>
    <d v="2025-09-01T00:00:00"/>
    <m/>
    <x v="4"/>
    <n v="0"/>
    <d v="2025-09-01T00:00:00"/>
    <d v="2025-12-31T00:00:00"/>
    <n v="1"/>
  </r>
  <r>
    <x v="39"/>
    <m/>
    <m/>
    <m/>
    <m/>
    <m/>
    <n v="6"/>
    <n v="7"/>
    <n v="850"/>
    <s v="HAMPSHIRE"/>
    <s v="Resourced Provision - Horndean Technology College"/>
    <d v="2025-09-01T00:00:00"/>
    <m/>
    <x v="4"/>
    <n v="0"/>
    <d v="2025-09-01T00:00:00"/>
    <d v="2025-12-31T00:00:00"/>
    <n v="1"/>
  </r>
  <r>
    <x v="40"/>
    <m/>
    <m/>
    <m/>
    <m/>
    <m/>
    <n v="9"/>
    <n v="10"/>
    <n v="850"/>
    <s v="HAMPSHIRE"/>
    <s v="Resourced Provision - The Henry Beaufort School"/>
    <d v="2022-09-01T00:00:00"/>
    <m/>
    <x v="6"/>
    <n v="0"/>
    <d v="2025-09-01T00:00:00"/>
    <d v="2025-12-31T00:00:00"/>
    <n v="1"/>
  </r>
  <r>
    <x v="40"/>
    <m/>
    <m/>
    <m/>
    <m/>
    <m/>
    <n v="9"/>
    <n v="10"/>
    <n v="850"/>
    <s v="HAMPSHIRE"/>
    <s v="Resourced Provision - The Henry Beaufort School"/>
    <d v="2022-09-01T00:00:00"/>
    <m/>
    <x v="6"/>
    <n v="0"/>
    <d v="2025-09-01T00:00:00"/>
    <d v="2025-12-31T00:00:00"/>
    <n v="1"/>
  </r>
  <r>
    <x v="40"/>
    <m/>
    <m/>
    <m/>
    <m/>
    <m/>
    <n v="10"/>
    <n v="11"/>
    <n v="850"/>
    <s v="HAMPSHIRE"/>
    <s v="Resourced Provision - The Henry Beaufort School"/>
    <d v="2023-03-31T00:00:00"/>
    <m/>
    <x v="6"/>
    <n v="0"/>
    <d v="2025-09-01T00:00:00"/>
    <d v="2025-12-31T00:00:00"/>
    <n v="1"/>
  </r>
  <r>
    <x v="40"/>
    <m/>
    <m/>
    <m/>
    <m/>
    <m/>
    <n v="8"/>
    <n v="9"/>
    <n v="850"/>
    <s v="HAMPSHIRE"/>
    <s v="Resourced Provision - The Henry Beaufort School"/>
    <d v="2023-11-29T00:00:00"/>
    <m/>
    <x v="6"/>
    <n v="0"/>
    <d v="2025-09-01T00:00:00"/>
    <d v="2025-12-31T00:00:00"/>
    <n v="1"/>
  </r>
  <r>
    <x v="40"/>
    <m/>
    <m/>
    <m/>
    <m/>
    <m/>
    <n v="7"/>
    <n v="8"/>
    <n v="850"/>
    <s v="HAMPSHIRE"/>
    <s v="Resourced Provision - The Henry Beaufort School"/>
    <d v="2024-09-01T00:00:00"/>
    <m/>
    <x v="6"/>
    <n v="0"/>
    <d v="2025-09-01T00:00:00"/>
    <d v="2025-12-31T00:00:00"/>
    <n v="1"/>
  </r>
  <r>
    <x v="40"/>
    <m/>
    <m/>
    <m/>
    <m/>
    <m/>
    <n v="11"/>
    <n v="12"/>
    <n v="850"/>
    <s v="HAMPSHIRE"/>
    <s v="Resourced Provision - The Henry Beaufort School"/>
    <d v="2020-09-01T00:00:00"/>
    <d v="2025-08-31T00:00:00"/>
    <x v="6"/>
    <n v="0"/>
    <s v=""/>
    <s v=""/>
    <n v="0"/>
  </r>
  <r>
    <x v="41"/>
    <m/>
    <m/>
    <m/>
    <m/>
    <m/>
    <n v="10"/>
    <n v="11"/>
    <n v="850"/>
    <s v="HAMPSHIRE"/>
    <s v="Resourced Provision - The Vyne Community School"/>
    <d v="2021-09-01T00:00:00"/>
    <m/>
    <x v="2"/>
    <n v="0"/>
    <d v="2025-09-01T00:00:00"/>
    <d v="2025-12-31T00:00:00"/>
    <n v="1"/>
  </r>
  <r>
    <x v="41"/>
    <m/>
    <m/>
    <m/>
    <m/>
    <m/>
    <n v="10"/>
    <n v="11"/>
    <n v="850"/>
    <s v="HAMPSHIRE"/>
    <s v="Resourced Provision - The Vyne Community School"/>
    <d v="2021-09-01T00:00:00"/>
    <m/>
    <x v="2"/>
    <n v="0"/>
    <d v="2025-09-01T00:00:00"/>
    <d v="2025-12-31T00:00:00"/>
    <n v="1"/>
  </r>
  <r>
    <x v="41"/>
    <m/>
    <m/>
    <m/>
    <m/>
    <m/>
    <n v="10"/>
    <n v="11"/>
    <n v="850"/>
    <s v="HAMPSHIRE"/>
    <s v="Resourced Provision - The Vyne Community School"/>
    <d v="2021-09-01T00:00:00"/>
    <m/>
    <x v="2"/>
    <n v="0"/>
    <d v="2025-09-01T00:00:00"/>
    <d v="2025-12-31T00:00:00"/>
    <n v="1"/>
  </r>
  <r>
    <x v="41"/>
    <m/>
    <m/>
    <m/>
    <m/>
    <m/>
    <n v="9"/>
    <n v="10"/>
    <n v="850"/>
    <s v="HAMPSHIRE"/>
    <s v="Resourced Provision - The Vyne Community School"/>
    <d v="2022-09-01T00:00:00"/>
    <m/>
    <x v="2"/>
    <n v="0"/>
    <d v="2025-09-01T00:00:00"/>
    <d v="2025-12-31T00:00:00"/>
    <n v="1"/>
  </r>
  <r>
    <x v="41"/>
    <m/>
    <m/>
    <m/>
    <m/>
    <m/>
    <n v="8"/>
    <n v="9"/>
    <n v="850"/>
    <s v="HAMPSHIRE"/>
    <s v="Resourced Provision - The Vyne Community School"/>
    <d v="2023-09-01T00:00:00"/>
    <m/>
    <x v="2"/>
    <n v="0"/>
    <d v="2025-09-01T00:00:00"/>
    <d v="2025-12-31T00:00:00"/>
    <n v="1"/>
  </r>
  <r>
    <x v="41"/>
    <m/>
    <m/>
    <m/>
    <m/>
    <m/>
    <n v="9"/>
    <n v="10"/>
    <n v="850"/>
    <s v="HAMPSHIRE"/>
    <s v="Resourced Provision - The Vyne Community School"/>
    <d v="2022-09-01T00:00:00"/>
    <m/>
    <x v="2"/>
    <n v="0"/>
    <d v="2025-09-01T00:00:00"/>
    <d v="2025-12-31T00:00:00"/>
    <n v="1"/>
  </r>
  <r>
    <x v="41"/>
    <m/>
    <m/>
    <m/>
    <m/>
    <m/>
    <n v="9"/>
    <n v="10"/>
    <n v="850"/>
    <s v="HAMPSHIRE"/>
    <s v="Resourced Provision - The Vyne Community School"/>
    <d v="2022-09-01T00:00:00"/>
    <m/>
    <x v="2"/>
    <n v="0"/>
    <d v="2025-09-01T00:00:00"/>
    <d v="2025-12-31T00:00:00"/>
    <n v="1"/>
  </r>
  <r>
    <x v="41"/>
    <m/>
    <m/>
    <m/>
    <m/>
    <m/>
    <n v="8"/>
    <n v="9"/>
    <n v="850"/>
    <s v="HAMPSHIRE"/>
    <s v="Resourced Provision - The Vyne Community School"/>
    <d v="2023-09-01T00:00:00"/>
    <m/>
    <x v="2"/>
    <n v="0"/>
    <d v="2025-09-01T00:00:00"/>
    <d v="2025-12-31T00:00:00"/>
    <n v="1"/>
  </r>
  <r>
    <x v="41"/>
    <m/>
    <m/>
    <m/>
    <m/>
    <m/>
    <n v="10"/>
    <n v="11"/>
    <n v="850"/>
    <s v="HAMPSHIRE"/>
    <s v="Resourced Provision - The Vyne Community School"/>
    <d v="2021-09-01T00:00:00"/>
    <m/>
    <x v="2"/>
    <n v="0"/>
    <d v="2025-09-01T00:00:00"/>
    <d v="2025-12-31T00:00:00"/>
    <n v="1"/>
  </r>
  <r>
    <x v="42"/>
    <m/>
    <m/>
    <m/>
    <m/>
    <m/>
    <n v="10"/>
    <n v="11"/>
    <n v="850"/>
    <s v="HAMPSHIRE"/>
    <s v="Resourced Provision (SPLD) - Crestwood School"/>
    <d v="2021-09-01T00:00:00"/>
    <m/>
    <x v="7"/>
    <n v="0"/>
    <d v="2025-09-01T00:00:00"/>
    <d v="2025-12-31T00:00:00"/>
    <n v="1"/>
  </r>
  <r>
    <x v="42"/>
    <m/>
    <m/>
    <m/>
    <m/>
    <m/>
    <n v="9"/>
    <n v="10"/>
    <n v="850"/>
    <s v="HAMPSHIRE"/>
    <s v="Resourced Provision (SPLD) - Crestwood School"/>
    <d v="2022-09-01T00:00:00"/>
    <m/>
    <x v="7"/>
    <n v="0"/>
    <d v="2025-09-01T00:00:00"/>
    <d v="2025-12-31T00:00:00"/>
    <n v="1"/>
  </r>
  <r>
    <x v="42"/>
    <m/>
    <m/>
    <m/>
    <m/>
    <m/>
    <n v="11"/>
    <n v="12"/>
    <n v="850"/>
    <s v="HAMPSHIRE"/>
    <s v="Resourced Provision (SPLD) - Crestwood School"/>
    <d v="2020-09-01T00:00:00"/>
    <d v="2025-08-31T00:00:00"/>
    <x v="7"/>
    <n v="0"/>
    <s v=""/>
    <s v=""/>
    <n v="0"/>
  </r>
  <r>
    <x v="42"/>
    <m/>
    <m/>
    <m/>
    <m/>
    <m/>
    <n v="11"/>
    <n v="12"/>
    <n v="850"/>
    <s v="HAMPSHIRE"/>
    <s v="Resourced Provision (SPLD) - Crestwood School"/>
    <d v="2020-09-01T00:00:00"/>
    <d v="2025-08-31T00:00:00"/>
    <x v="7"/>
    <n v="0"/>
    <s v=""/>
    <s v=""/>
    <n v="0"/>
  </r>
  <r>
    <x v="42"/>
    <m/>
    <m/>
    <m/>
    <m/>
    <m/>
    <n v="8"/>
    <n v="9"/>
    <n v="850"/>
    <s v="HAMPSHIRE"/>
    <s v="Resourced Provision (SEMH) - Crestwood School"/>
    <d v="2023-09-01T00:00:00"/>
    <m/>
    <x v="5"/>
    <n v="0"/>
    <d v="2025-09-01T00:00:00"/>
    <d v="2025-12-31T00:00:00"/>
    <n v="1"/>
  </r>
  <r>
    <x v="42"/>
    <m/>
    <m/>
    <m/>
    <m/>
    <m/>
    <n v="7"/>
    <n v="8"/>
    <n v="850"/>
    <s v="HAMPSHIRE"/>
    <s v="Resourced Provision (SPLD) - Crestwood School"/>
    <d v="2024-09-01T00:00:00"/>
    <m/>
    <x v="7"/>
    <n v="0"/>
    <d v="2025-09-01T00:00:00"/>
    <d v="2025-12-31T00:00:00"/>
    <n v="1"/>
  </r>
  <r>
    <x v="42"/>
    <m/>
    <m/>
    <m/>
    <m/>
    <m/>
    <n v="12"/>
    <n v="13"/>
    <n v="850"/>
    <s v="HAMPSHIRE"/>
    <s v="Resourced Provision (SPLD) - Crestwood School"/>
    <d v="2025-09-01T00:00:00"/>
    <m/>
    <x v="7"/>
    <n v="0"/>
    <d v="2025-09-01T00:00:00"/>
    <d v="2025-12-31T00:00:00"/>
    <n v="1"/>
  </r>
  <r>
    <x v="42"/>
    <m/>
    <m/>
    <m/>
    <m/>
    <m/>
    <n v="7"/>
    <n v="8"/>
    <n v="850"/>
    <s v="HAMPSHIRE"/>
    <s v="Resourced Provision (SEMH) - Crestwood School"/>
    <d v="2024-09-01T00:00:00"/>
    <m/>
    <x v="5"/>
    <n v="0"/>
    <d v="2025-09-01T00:00:00"/>
    <d v="2025-12-31T00:00:00"/>
    <n v="1"/>
  </r>
  <r>
    <x v="42"/>
    <m/>
    <m/>
    <m/>
    <m/>
    <m/>
    <n v="11"/>
    <n v="12"/>
    <n v="850"/>
    <s v="HAMPSHIRE"/>
    <s v="Resourced Provision (SEMH) - Crestwood School"/>
    <d v="2020-09-01T00:00:00"/>
    <d v="2025-08-31T00:00:00"/>
    <x v="5"/>
    <n v="0"/>
    <s v=""/>
    <s v=""/>
    <n v="0"/>
  </r>
  <r>
    <x v="42"/>
    <m/>
    <m/>
    <m/>
    <m/>
    <m/>
    <n v="9"/>
    <n v="10"/>
    <n v="850"/>
    <s v="HAMPSHIRE"/>
    <s v="Resourced Provision (SEMH) - Crestwood School"/>
    <d v="2025-09-01T00:00:00"/>
    <m/>
    <x v="5"/>
    <n v="0"/>
    <d v="2025-09-01T00:00:00"/>
    <d v="2025-12-31T00:00:00"/>
    <n v="1"/>
  </r>
  <r>
    <x v="42"/>
    <m/>
    <m/>
    <m/>
    <m/>
    <m/>
    <n v="9"/>
    <n v="10"/>
    <n v="850"/>
    <s v="HAMPSHIRE"/>
    <s v="Resourced Provision (SEMH) - Crestwood School"/>
    <d v="2025-09-01T00:00:00"/>
    <m/>
    <x v="5"/>
    <n v="0"/>
    <d v="2025-09-01T00:00:00"/>
    <d v="2025-12-31T00:00:00"/>
    <n v="1"/>
  </r>
  <r>
    <x v="42"/>
    <m/>
    <m/>
    <m/>
    <m/>
    <m/>
    <n v="11"/>
    <n v="12"/>
    <n v="850"/>
    <s v="HAMPSHIRE"/>
    <s v="Resourced Provision (SEMH) - Crestwood School"/>
    <d v="2024-09-01T00:00:00"/>
    <d v="2025-08-31T00:00:00"/>
    <x v="5"/>
    <n v="0"/>
    <s v=""/>
    <s v=""/>
    <n v="0"/>
  </r>
  <r>
    <x v="42"/>
    <m/>
    <m/>
    <m/>
    <m/>
    <m/>
    <n v="7"/>
    <n v="8"/>
    <n v="850"/>
    <s v="HAMPSHIRE"/>
    <s v="Resourced Provision (SEMH) - Crestwood School"/>
    <d v="2024-09-01T00:00:00"/>
    <m/>
    <x v="5"/>
    <n v="0"/>
    <d v="2025-09-01T00:00:00"/>
    <d v="2025-12-31T00:00:00"/>
    <n v="1"/>
  </r>
  <r>
    <x v="42"/>
    <m/>
    <m/>
    <m/>
    <m/>
    <m/>
    <n v="7"/>
    <n v="8"/>
    <n v="850"/>
    <s v="HAMPSHIRE"/>
    <s v="Resourced Provision (SPLD) - Crestwood School"/>
    <d v="2024-09-01T00:00:00"/>
    <m/>
    <x v="7"/>
    <n v="0"/>
    <d v="2025-09-01T00:00:00"/>
    <d v="2025-12-31T00:00:00"/>
    <n v="1"/>
  </r>
  <r>
    <x v="42"/>
    <m/>
    <m/>
    <m/>
    <m/>
    <m/>
    <n v="10"/>
    <n v="11"/>
    <n v="850"/>
    <s v="HAMPSHIRE"/>
    <s v="Resourced Provision (SEMH) - Crestwood School"/>
    <d v="2024-07-01T00:00:00"/>
    <m/>
    <x v="5"/>
    <n v="0"/>
    <d v="2025-09-01T00:00:00"/>
    <d v="2025-12-31T00:00:00"/>
    <n v="1"/>
  </r>
  <r>
    <x v="42"/>
    <m/>
    <m/>
    <m/>
    <m/>
    <m/>
    <n v="10"/>
    <n v="11"/>
    <n v="850"/>
    <s v="HAMPSHIRE"/>
    <s v="Resourced Provision (SPLD) - Crestwood School"/>
    <d v="2021-09-01T00:00:00"/>
    <m/>
    <x v="7"/>
    <n v="0"/>
    <d v="2025-09-01T00:00:00"/>
    <d v="2025-12-31T00:00:00"/>
    <n v="1"/>
  </r>
  <r>
    <x v="42"/>
    <m/>
    <m/>
    <m/>
    <m/>
    <m/>
    <n v="10"/>
    <n v="11"/>
    <n v="850"/>
    <s v="HAMPSHIRE"/>
    <s v="Resourced Provision (SEMH) - Crestwood School"/>
    <d v="2025-09-01T00:00:00"/>
    <m/>
    <x v="5"/>
    <n v="0"/>
    <d v="2025-09-01T00:00:00"/>
    <d v="2025-12-31T00:00:00"/>
    <n v="1"/>
  </r>
  <r>
    <x v="42"/>
    <m/>
    <m/>
    <m/>
    <m/>
    <m/>
    <n v="10"/>
    <n v="11"/>
    <n v="850"/>
    <s v="HAMPSHIRE"/>
    <s v="Resourced Provision (SEMH) - Crestwood School"/>
    <d v="2021-09-01T00:00:00"/>
    <m/>
    <x v="5"/>
    <n v="0"/>
    <d v="2025-09-01T00:00:00"/>
    <d v="2025-12-31T00:00:00"/>
    <n v="1"/>
  </r>
  <r>
    <x v="42"/>
    <m/>
    <m/>
    <m/>
    <m/>
    <m/>
    <n v="11"/>
    <n v="12"/>
    <n v="850"/>
    <s v="HAMPSHIRE"/>
    <s v="Resourced Provision (SPLD) - Crestwood School"/>
    <d v="2020-09-28T00:00:00"/>
    <d v="2025-08-31T00:00:00"/>
    <x v="7"/>
    <n v="0"/>
    <s v=""/>
    <s v=""/>
    <n v="0"/>
  </r>
  <r>
    <x v="42"/>
    <m/>
    <m/>
    <m/>
    <m/>
    <m/>
    <n v="7"/>
    <n v="8"/>
    <n v="850"/>
    <s v="HAMPSHIRE"/>
    <s v="Resourced Provision (SEMH) - Crestwood School"/>
    <d v="2024-09-01T00:00:00"/>
    <m/>
    <x v="5"/>
    <n v="0"/>
    <d v="2025-09-01T00:00:00"/>
    <d v="2025-12-31T00:00:00"/>
    <n v="1"/>
  </r>
  <r>
    <x v="42"/>
    <m/>
    <m/>
    <m/>
    <m/>
    <m/>
    <n v="11"/>
    <n v="12"/>
    <n v="850"/>
    <s v="HAMPSHIRE"/>
    <s v="Resourced Provision (SEMH) - Crestwood School"/>
    <d v="2024-09-01T00:00:00"/>
    <d v="2025-08-31T00:00:00"/>
    <x v="5"/>
    <n v="0"/>
    <s v=""/>
    <s v=""/>
    <n v="0"/>
  </r>
  <r>
    <x v="42"/>
    <m/>
    <m/>
    <m/>
    <m/>
    <m/>
    <n v="8"/>
    <n v="9"/>
    <n v="850"/>
    <s v="HAMPSHIRE"/>
    <s v="Resourced Provision (SEMH) - Crestwood School"/>
    <d v="2023-09-01T00:00:00"/>
    <m/>
    <x v="5"/>
    <n v="0"/>
    <d v="2025-09-01T00:00:00"/>
    <d v="2025-12-31T00:00:00"/>
    <n v="1"/>
  </r>
  <r>
    <x v="43"/>
    <m/>
    <m/>
    <m/>
    <m/>
    <m/>
    <n v="7"/>
    <n v="8"/>
    <n v="850"/>
    <s v="HAMPSHIRE"/>
    <s v="Resourced Provision - Cove School"/>
    <d v="2024-09-01T00:00:00"/>
    <m/>
    <x v="6"/>
    <s v="HI"/>
    <d v="2025-09-01T00:00:00"/>
    <d v="2025-12-31T00:00:00"/>
    <n v="1"/>
  </r>
  <r>
    <x v="43"/>
    <m/>
    <m/>
    <m/>
    <m/>
    <m/>
    <n v="9"/>
    <n v="10"/>
    <n v="850"/>
    <s v="HAMPSHIRE"/>
    <s v="Resourced Provision - Cove School"/>
    <d v="2022-09-01T00:00:00"/>
    <m/>
    <x v="6"/>
    <n v="0"/>
    <d v="2025-09-01T00:00:00"/>
    <d v="2025-12-31T00:00:00"/>
    <n v="1"/>
  </r>
  <r>
    <x v="44"/>
    <m/>
    <m/>
    <m/>
    <m/>
    <m/>
    <n v="10"/>
    <n v="11"/>
    <n v="850"/>
    <s v="HAMPSHIRE"/>
    <s v="Resourced Provision - The Wavell School"/>
    <d v="2021-09-01T00:00:00"/>
    <m/>
    <x v="7"/>
    <n v="0"/>
    <d v="2025-09-01T00:00:00"/>
    <d v="2025-12-31T00:00:00"/>
    <n v="1"/>
  </r>
  <r>
    <x v="44"/>
    <m/>
    <m/>
    <m/>
    <m/>
    <m/>
    <n v="10"/>
    <n v="11"/>
    <n v="850"/>
    <s v="HAMPSHIRE"/>
    <s v="Resourced Provision - The Wavell School"/>
    <d v="2021-09-01T00:00:00"/>
    <m/>
    <x v="7"/>
    <n v="0"/>
    <d v="2025-09-01T00:00:00"/>
    <d v="2025-12-31T00:00:00"/>
    <n v="1"/>
  </r>
  <r>
    <x v="44"/>
    <m/>
    <m/>
    <m/>
    <m/>
    <m/>
    <n v="10"/>
    <n v="11"/>
    <n v="850"/>
    <s v="HAMPSHIRE"/>
    <s v="Resourced Provision - The Wavell School"/>
    <d v="2021-09-01T00:00:00"/>
    <m/>
    <x v="7"/>
    <n v="0"/>
    <d v="2025-09-01T00:00:00"/>
    <d v="2025-12-31T00:00:00"/>
    <n v="1"/>
  </r>
  <r>
    <x v="44"/>
    <m/>
    <m/>
    <m/>
    <m/>
    <m/>
    <n v="11"/>
    <n v="12"/>
    <n v="850"/>
    <s v="HAMPSHIRE"/>
    <s v="Resourced Provision - The Wavell School"/>
    <d v="2020-09-01T00:00:00"/>
    <d v="2025-08-31T00:00:00"/>
    <x v="7"/>
    <n v="0"/>
    <s v=""/>
    <s v=""/>
    <n v="0"/>
  </r>
  <r>
    <x v="44"/>
    <m/>
    <m/>
    <m/>
    <m/>
    <m/>
    <n v="8"/>
    <n v="9"/>
    <n v="850"/>
    <s v="HAMPSHIRE"/>
    <s v="Resourced Provision - The Wavell School"/>
    <d v="2024-09-01T00:00:00"/>
    <m/>
    <x v="7"/>
    <n v="0"/>
    <d v="2025-09-01T00:00:00"/>
    <d v="2025-12-31T00:00:00"/>
    <n v="1"/>
  </r>
  <r>
    <x v="44"/>
    <m/>
    <m/>
    <m/>
    <m/>
    <m/>
    <n v="11"/>
    <n v="12"/>
    <n v="850"/>
    <s v="HAMPSHIRE"/>
    <s v="Resourced Provision - The Wavell School"/>
    <d v="2020-09-01T00:00:00"/>
    <d v="2025-08-31T00:00:00"/>
    <x v="7"/>
    <n v="0"/>
    <s v=""/>
    <s v=""/>
    <n v="0"/>
  </r>
  <r>
    <x v="44"/>
    <m/>
    <m/>
    <m/>
    <m/>
    <m/>
    <n v="8"/>
    <n v="9"/>
    <n v="850"/>
    <s v="HAMPSHIRE"/>
    <s v="Resourced Provision - The Wavell School"/>
    <d v="2023-09-01T00:00:00"/>
    <m/>
    <x v="7"/>
    <n v="0"/>
    <d v="2025-09-01T00:00:00"/>
    <d v="2025-12-31T00:00:00"/>
    <n v="1"/>
  </r>
  <r>
    <x v="44"/>
    <m/>
    <m/>
    <m/>
    <m/>
    <m/>
    <n v="9"/>
    <n v="10"/>
    <n v="850"/>
    <s v="HAMPSHIRE"/>
    <s v="Resourced Provision - The Wavell School"/>
    <d v="2022-09-01T00:00:00"/>
    <m/>
    <x v="7"/>
    <n v="0"/>
    <d v="2025-09-01T00:00:00"/>
    <d v="2025-12-31T00:00:00"/>
    <n v="1"/>
  </r>
  <r>
    <x v="44"/>
    <m/>
    <m/>
    <m/>
    <m/>
    <m/>
    <n v="10"/>
    <n v="11"/>
    <n v="850"/>
    <s v="HAMPSHIRE"/>
    <s v="Resourced Provision - The Wavell School"/>
    <d v="2021-09-01T00:00:00"/>
    <m/>
    <x v="7"/>
    <n v="0"/>
    <d v="2025-09-01T00:00:00"/>
    <d v="2025-12-31T00:00:00"/>
    <n v="1"/>
  </r>
  <r>
    <x v="44"/>
    <m/>
    <m/>
    <m/>
    <m/>
    <m/>
    <n v="11"/>
    <n v="12"/>
    <n v="850"/>
    <s v="HAMPSHIRE"/>
    <s v="Resourced Provision - The Wavell School"/>
    <d v="2020-09-01T00:00:00"/>
    <d v="2025-08-31T00:00:00"/>
    <x v="7"/>
    <n v="0"/>
    <s v=""/>
    <s v=""/>
    <n v="0"/>
  </r>
  <r>
    <x v="44"/>
    <m/>
    <m/>
    <m/>
    <m/>
    <m/>
    <n v="9"/>
    <n v="10"/>
    <n v="850"/>
    <s v="HAMPSHIRE"/>
    <s v="Resourced Provision - The Wavell School"/>
    <d v="2022-09-01T00:00:00"/>
    <m/>
    <x v="7"/>
    <n v="0"/>
    <d v="2025-09-01T00:00:00"/>
    <d v="2025-12-31T00:00:00"/>
    <n v="1"/>
  </r>
  <r>
    <x v="44"/>
    <m/>
    <m/>
    <m/>
    <m/>
    <m/>
    <n v="11"/>
    <n v="12"/>
    <n v="850"/>
    <s v="HAMPSHIRE"/>
    <s v="Resourced Provision - The Wavell School"/>
    <d v="2020-09-01T00:00:00"/>
    <d v="2025-08-31T00:00:00"/>
    <x v="7"/>
    <n v="0"/>
    <s v=""/>
    <s v=""/>
    <n v="0"/>
  </r>
  <r>
    <x v="44"/>
    <m/>
    <m/>
    <m/>
    <m/>
    <m/>
    <n v="8"/>
    <n v="9"/>
    <n v="850"/>
    <s v="HAMPSHIRE"/>
    <s v="Resourced Provision - The Wavell School"/>
    <d v="2023-09-01T00:00:00"/>
    <m/>
    <x v="7"/>
    <n v="0"/>
    <d v="2025-09-01T00:00:00"/>
    <d v="2025-12-31T00:00:00"/>
    <n v="1"/>
  </r>
  <r>
    <x v="44"/>
    <m/>
    <m/>
    <m/>
    <m/>
    <m/>
    <n v="10"/>
    <n v="11"/>
    <n v="850"/>
    <s v="HAMPSHIRE"/>
    <s v="Resourced Provision - The Wavell School"/>
    <d v="2021-09-01T00:00:00"/>
    <m/>
    <x v="7"/>
    <n v="0"/>
    <d v="2025-09-01T00:00:00"/>
    <d v="2025-12-31T00:00:00"/>
    <n v="1"/>
  </r>
  <r>
    <x v="44"/>
    <m/>
    <m/>
    <m/>
    <m/>
    <m/>
    <n v="11"/>
    <n v="12"/>
    <n v="850"/>
    <s v="HAMPSHIRE"/>
    <s v="Resourced Provision - The Wavell School"/>
    <d v="2020-09-01T00:00:00"/>
    <d v="2025-08-31T00:00:00"/>
    <x v="7"/>
    <n v="0"/>
    <s v=""/>
    <s v=""/>
    <n v="0"/>
  </r>
  <r>
    <x v="44"/>
    <m/>
    <m/>
    <m/>
    <m/>
    <m/>
    <n v="8"/>
    <n v="9"/>
    <n v="850"/>
    <s v="HAMPSHIRE"/>
    <s v="Resourced Provision - The Wavell School"/>
    <d v="2024-09-01T00:00:00"/>
    <m/>
    <x v="7"/>
    <n v="0"/>
    <d v="2025-09-01T00:00:00"/>
    <d v="2025-12-31T00:00:00"/>
    <n v="1"/>
  </r>
  <r>
    <x v="44"/>
    <m/>
    <m/>
    <m/>
    <m/>
    <m/>
    <n v="11"/>
    <n v="12"/>
    <n v="850"/>
    <s v="HAMPSHIRE"/>
    <s v="Resourced Provision - The Wavell School"/>
    <d v="2020-09-01T00:00:00"/>
    <d v="2025-04-22T00:00:00"/>
    <x v="7"/>
    <n v="0"/>
    <s v=""/>
    <s v=""/>
    <n v="0"/>
  </r>
  <r>
    <x v="44"/>
    <m/>
    <m/>
    <m/>
    <m/>
    <m/>
    <n v="11"/>
    <n v="12"/>
    <n v="850"/>
    <s v="HAMPSHIRE"/>
    <s v="Resourced Provision - The Wavell School"/>
    <d v="2021-09-01T00:00:00"/>
    <d v="2025-08-31T00:00:00"/>
    <x v="7"/>
    <n v="0"/>
    <s v=""/>
    <s v=""/>
    <n v="0"/>
  </r>
  <r>
    <x v="44"/>
    <m/>
    <m/>
    <m/>
    <m/>
    <m/>
    <n v="10"/>
    <n v="11"/>
    <n v="850"/>
    <s v="HAMPSHIRE"/>
    <s v="Resourced Provision - The Wavell School"/>
    <d v="2021-09-01T00:00:00"/>
    <m/>
    <x v="7"/>
    <n v="0"/>
    <d v="2025-09-01T00:00:00"/>
    <d v="2025-12-31T00:00:00"/>
    <n v="1"/>
  </r>
  <r>
    <x v="44"/>
    <m/>
    <m/>
    <m/>
    <m/>
    <m/>
    <n v="8"/>
    <n v="9"/>
    <n v="850"/>
    <s v="HAMPSHIRE"/>
    <s v="Resourced Provision - The Wavell School"/>
    <d v="2023-09-01T00:00:00"/>
    <m/>
    <x v="7"/>
    <n v="0"/>
    <d v="2025-09-01T00:00:00"/>
    <d v="2025-12-31T00:00:00"/>
    <n v="1"/>
  </r>
  <r>
    <x v="45"/>
    <m/>
    <m/>
    <m/>
    <m/>
    <m/>
    <n v="11"/>
    <n v="12"/>
    <n v="850"/>
    <s v="HAMPSHIRE"/>
    <s v="Resourced Provision - Fareham Academy"/>
    <d v="2023-06-05T00:00:00"/>
    <d v="2025-08-31T00:00:00"/>
    <x v="6"/>
    <n v="0"/>
    <s v=""/>
    <s v=""/>
    <n v="0"/>
  </r>
  <r>
    <x v="45"/>
    <m/>
    <m/>
    <m/>
    <m/>
    <m/>
    <n v="7"/>
    <n v="8"/>
    <n v="850"/>
    <s v="HAMPSHIRE"/>
    <s v="Resourced Provision - Fareham Academy"/>
    <d v="2024-09-01T00:00:00"/>
    <m/>
    <x v="6"/>
    <n v="0"/>
    <d v="2025-09-01T00:00:00"/>
    <d v="2025-12-31T00:00:00"/>
    <n v="1"/>
  </r>
  <r>
    <x v="45"/>
    <m/>
    <m/>
    <m/>
    <m/>
    <m/>
    <n v="7"/>
    <n v="8"/>
    <n v="850"/>
    <s v="HAMPSHIRE"/>
    <s v="Resourced Provision - Fareham Academy"/>
    <d v="2024-09-01T00:00:00"/>
    <m/>
    <x v="6"/>
    <n v="0"/>
    <d v="2025-09-01T00:00:00"/>
    <d v="2025-12-31T00:00:00"/>
    <n v="1"/>
  </r>
  <r>
    <x v="46"/>
    <m/>
    <m/>
    <m/>
    <m/>
    <m/>
    <n v="9"/>
    <n v="10"/>
    <n v="850"/>
    <s v="HAMPSHIRE"/>
    <s v="Resourced Provision - Kings' School"/>
    <d v="2024-11-17T00:00:00"/>
    <m/>
    <x v="8"/>
    <n v="0"/>
    <d v="2025-09-01T00:00:00"/>
    <d v="2025-12-31T00:00:00"/>
    <n v="1"/>
  </r>
  <r>
    <x v="46"/>
    <m/>
    <m/>
    <m/>
    <m/>
    <m/>
    <n v="10"/>
    <n v="11"/>
    <n v="850"/>
    <s v="HAMPSHIRE"/>
    <s v="Resourced Provision - Kings' School"/>
    <d v="2021-09-01T00:00:00"/>
    <m/>
    <x v="8"/>
    <n v="0"/>
    <d v="2025-09-01T00:00:00"/>
    <d v="2025-12-31T00:00:00"/>
    <n v="1"/>
  </r>
  <r>
    <x v="46"/>
    <m/>
    <m/>
    <m/>
    <m/>
    <m/>
    <n v="9"/>
    <n v="10"/>
    <n v="850"/>
    <s v="HAMPSHIRE"/>
    <s v="Resourced Provision - Kings' School"/>
    <d v="2022-09-01T00:00:00"/>
    <m/>
    <x v="8"/>
    <n v="0"/>
    <d v="2025-09-01T00:00:00"/>
    <d v="2025-12-31T00:00:00"/>
    <n v="1"/>
  </r>
  <r>
    <x v="46"/>
    <m/>
    <m/>
    <m/>
    <m/>
    <m/>
    <n v="9"/>
    <n v="10"/>
    <n v="850"/>
    <s v="HAMPSHIRE"/>
    <s v="Resourced Provision - Kings' School"/>
    <d v="2022-09-01T00:00:00"/>
    <m/>
    <x v="8"/>
    <n v="0"/>
    <d v="2025-09-01T00:00:00"/>
    <d v="2025-12-31T00:00:00"/>
    <n v="1"/>
  </r>
  <r>
    <x v="47"/>
    <m/>
    <m/>
    <m/>
    <m/>
    <m/>
    <n v="7"/>
    <n v="8"/>
    <n v="850"/>
    <s v="HAMPSHIRE"/>
    <s v="Resourced Provision - Robert May's School"/>
    <d v="2024-09-01T00:00:00"/>
    <m/>
    <x v="4"/>
    <n v="0"/>
    <d v="2025-09-01T00:00:00"/>
    <d v="2025-12-31T00:00:00"/>
    <n v="1"/>
  </r>
  <r>
    <x v="47"/>
    <m/>
    <m/>
    <m/>
    <m/>
    <m/>
    <n v="11"/>
    <n v="12"/>
    <n v="850"/>
    <s v="HAMPSHIRE"/>
    <s v="Resourced Provision - Robert May's School"/>
    <d v="2020-09-01T00:00:00"/>
    <d v="2025-08-31T00:00:00"/>
    <x v="4"/>
    <n v="0"/>
    <s v=""/>
    <s v=""/>
    <n v="0"/>
  </r>
  <r>
    <x v="47"/>
    <m/>
    <m/>
    <m/>
    <m/>
    <m/>
    <n v="9"/>
    <n v="10"/>
    <n v="850"/>
    <s v="HAMPSHIRE"/>
    <s v="Resourced Provision - Robert May's School"/>
    <d v="2022-09-01T00:00:00"/>
    <m/>
    <x v="4"/>
    <n v="0"/>
    <d v="2025-09-01T00:00:00"/>
    <d v="2025-12-31T00:00:00"/>
    <n v="1"/>
  </r>
  <r>
    <x v="47"/>
    <m/>
    <m/>
    <m/>
    <m/>
    <m/>
    <n v="10"/>
    <n v="11"/>
    <n v="850"/>
    <s v="HAMPSHIRE"/>
    <s v="Resourced Provision - Robert May's School"/>
    <d v="2021-09-01T00:00:00"/>
    <m/>
    <x v="4"/>
    <n v="0"/>
    <d v="2025-09-01T00:00:00"/>
    <d v="2025-12-31T00:00:00"/>
    <n v="1"/>
  </r>
  <r>
    <x v="47"/>
    <m/>
    <m/>
    <m/>
    <m/>
    <m/>
    <n v="9"/>
    <n v="10"/>
    <n v="850"/>
    <s v="HAMPSHIRE"/>
    <s v="Resourced Provision - Robert May's School"/>
    <d v="2022-09-01T00:00:00"/>
    <m/>
    <x v="4"/>
    <n v="0"/>
    <d v="2025-09-01T00:00:00"/>
    <d v="2025-12-31T00:00:00"/>
    <n v="1"/>
  </r>
  <r>
    <x v="47"/>
    <m/>
    <m/>
    <m/>
    <m/>
    <m/>
    <n v="10"/>
    <n v="11"/>
    <n v="850"/>
    <s v="HAMPSHIRE"/>
    <s v="Resourced Provision - Robert May's School"/>
    <d v="2020-09-01T00:00:00"/>
    <m/>
    <x v="4"/>
    <n v="0"/>
    <d v="2025-09-01T00:00:00"/>
    <d v="2025-12-31T00:00:00"/>
    <n v="1"/>
  </r>
  <r>
    <x v="47"/>
    <m/>
    <m/>
    <m/>
    <m/>
    <m/>
    <n v="10"/>
    <n v="11"/>
    <n v="850"/>
    <s v="HAMPSHIRE"/>
    <s v="Resourced Provision - Robert May's School"/>
    <d v="2021-09-01T00:00:00"/>
    <m/>
    <x v="4"/>
    <n v="0"/>
    <d v="2025-09-01T00:00:00"/>
    <d v="2025-12-31T00:00:00"/>
    <n v="1"/>
  </r>
  <r>
    <x v="47"/>
    <m/>
    <m/>
    <m/>
    <m/>
    <m/>
    <n v="11"/>
    <n v="12"/>
    <n v="850"/>
    <s v="HAMPSHIRE"/>
    <s v="Resourced Provision - Robert May's School"/>
    <d v="2020-09-01T00:00:00"/>
    <d v="2025-08-31T00:00:00"/>
    <x v="4"/>
    <n v="0"/>
    <s v=""/>
    <s v=""/>
    <n v="0"/>
  </r>
  <r>
    <x v="47"/>
    <m/>
    <m/>
    <m/>
    <m/>
    <m/>
    <n v="10"/>
    <n v="11"/>
    <n v="850"/>
    <s v="HAMPSHIRE"/>
    <s v="Resourced Provision - Robert May's School"/>
    <d v="2021-09-01T00:00:00"/>
    <m/>
    <x v="4"/>
    <n v="0"/>
    <d v="2025-09-01T00:00:00"/>
    <d v="2025-12-31T00:00:00"/>
    <n v="1"/>
  </r>
  <r>
    <x v="47"/>
    <m/>
    <m/>
    <m/>
    <m/>
    <m/>
    <n v="11"/>
    <n v="12"/>
    <n v="850"/>
    <s v="HAMPSHIRE"/>
    <s v="Resourced Provision - Robert May's School"/>
    <d v="2020-09-01T00:00:00"/>
    <d v="2025-08-31T00:00:00"/>
    <x v="4"/>
    <n v="0"/>
    <s v=""/>
    <s v=""/>
    <n v="0"/>
  </r>
  <r>
    <x v="47"/>
    <m/>
    <m/>
    <m/>
    <m/>
    <m/>
    <n v="7"/>
    <n v="8"/>
    <n v="850"/>
    <s v="HAMPSHIRE"/>
    <s v="Resourced Provision - Robert May's School"/>
    <d v="2024-09-01T00:00:00"/>
    <m/>
    <x v="4"/>
    <n v="0"/>
    <d v="2025-09-01T00:00:00"/>
    <d v="2025-12-31T00:00:00"/>
    <n v="1"/>
  </r>
  <r>
    <x v="47"/>
    <m/>
    <m/>
    <m/>
    <m/>
    <m/>
    <n v="6"/>
    <n v="7"/>
    <n v="850"/>
    <s v="HAMPSHIRE"/>
    <s v="Resourced Provision - Robert May's School"/>
    <d v="2025-09-01T00:00:00"/>
    <m/>
    <x v="4"/>
    <n v="0"/>
    <d v="2025-09-01T00:00:00"/>
    <d v="2025-12-31T00:00:00"/>
    <n v="1"/>
  </r>
  <r>
    <x v="47"/>
    <m/>
    <m/>
    <m/>
    <m/>
    <m/>
    <n v="9"/>
    <n v="10"/>
    <n v="850"/>
    <s v="HAMPSHIRE"/>
    <s v="Resourced Provision - Robert May's School"/>
    <d v="2025-01-06T00:00:00"/>
    <m/>
    <x v="4"/>
    <n v="0"/>
    <d v="2025-09-01T00:00:00"/>
    <d v="2025-12-31T00:00:00"/>
    <n v="1"/>
  </r>
  <r>
    <x v="47"/>
    <m/>
    <m/>
    <m/>
    <m/>
    <m/>
    <n v="9"/>
    <n v="10"/>
    <n v="850"/>
    <s v="HAMPSHIRE"/>
    <s v="Resourced Provision - Robert May's School"/>
    <d v="2022-09-01T00:00:00"/>
    <m/>
    <x v="4"/>
    <n v="0"/>
    <d v="2025-09-01T00:00:00"/>
    <d v="2025-12-31T00:00:00"/>
    <n v="1"/>
  </r>
  <r>
    <x v="47"/>
    <m/>
    <m/>
    <m/>
    <m/>
    <m/>
    <n v="10"/>
    <n v="11"/>
    <n v="850"/>
    <s v="HAMPSHIRE"/>
    <s v="Resourced Provision - Robert May's School"/>
    <d v="2024-02-05T00:00:00"/>
    <d v="2025-08-31T00:00:00"/>
    <x v="4"/>
    <n v="0"/>
    <s v=""/>
    <s v=""/>
    <n v="0"/>
  </r>
  <r>
    <x v="47"/>
    <m/>
    <m/>
    <m/>
    <m/>
    <m/>
    <n v="6"/>
    <n v="7"/>
    <n v="850"/>
    <s v="HAMPSHIRE"/>
    <s v="Resourced Provision - Robert May's School"/>
    <d v="2025-09-01T00:00:00"/>
    <m/>
    <x v="4"/>
    <n v="0"/>
    <d v="2025-09-01T00:00:00"/>
    <d v="2025-12-31T00:00:00"/>
    <n v="1"/>
  </r>
  <r>
    <x v="47"/>
    <m/>
    <m/>
    <m/>
    <m/>
    <m/>
    <n v="8"/>
    <n v="9"/>
    <n v="850"/>
    <s v="HAMPSHIRE"/>
    <s v="Resourced Provision - Robert May's School"/>
    <d v="2025-09-01T00:00:00"/>
    <m/>
    <x v="4"/>
    <n v="0"/>
    <d v="2025-09-01T00:00:00"/>
    <d v="2025-12-31T00:00:00"/>
    <n v="1"/>
  </r>
  <r>
    <x v="48"/>
    <m/>
    <m/>
    <m/>
    <m/>
    <m/>
    <n v="2"/>
    <n v="3"/>
    <n v="850"/>
    <s v="HAMPSHIRE"/>
    <s v="Resourced Provision - Ashley Junior LSU (SLCN)"/>
    <d v="2025-09-01T00:00:00"/>
    <m/>
    <x v="2"/>
    <n v="0"/>
    <d v="2025-09-01T00:00:00"/>
    <d v="2025-12-31T00:00:00"/>
    <n v="1"/>
  </r>
  <r>
    <x v="48"/>
    <m/>
    <m/>
    <m/>
    <m/>
    <m/>
    <n v="5"/>
    <n v="6"/>
    <n v="850"/>
    <s v="HAMPSHIRE"/>
    <s v="Resourced Provision - Ashley Junior LSU (SLCN)"/>
    <d v="2022-09-01T00:00:00"/>
    <m/>
    <x v="2"/>
    <n v="0"/>
    <d v="2025-09-01T00:00:00"/>
    <d v="2025-12-31T00:00:00"/>
    <n v="1"/>
  </r>
  <r>
    <x v="48"/>
    <m/>
    <m/>
    <m/>
    <m/>
    <m/>
    <n v="5"/>
    <n v="6"/>
    <n v="850"/>
    <s v="HAMPSHIRE"/>
    <s v="Resourced Provision - Ashley Junior LSU (MLD)"/>
    <d v="2022-09-01T00:00:00"/>
    <m/>
    <x v="3"/>
    <n v="0"/>
    <d v="2025-09-01T00:00:00"/>
    <d v="2025-12-31T00:00:00"/>
    <n v="1"/>
  </r>
  <r>
    <x v="48"/>
    <m/>
    <m/>
    <m/>
    <m/>
    <m/>
    <n v="5"/>
    <n v="6"/>
    <n v="850"/>
    <s v="HAMPSHIRE"/>
    <s v="Resourced Provision - Ashley Junior LSU (SLCN)"/>
    <d v="2022-09-01T00:00:00"/>
    <m/>
    <x v="2"/>
    <n v="0"/>
    <d v="2025-09-01T00:00:00"/>
    <d v="2025-12-31T00:00:00"/>
    <n v="1"/>
  </r>
  <r>
    <x v="48"/>
    <m/>
    <m/>
    <m/>
    <m/>
    <m/>
    <n v="4"/>
    <n v="5"/>
    <n v="850"/>
    <s v="HAMPSHIRE"/>
    <s v="Resourced Provision - Ashley Junior LSU (MLD)"/>
    <d v="2024-09-01T00:00:00"/>
    <m/>
    <x v="3"/>
    <n v="0"/>
    <d v="2025-09-01T00:00:00"/>
    <d v="2025-12-31T00:00:00"/>
    <n v="1"/>
  </r>
  <r>
    <x v="48"/>
    <m/>
    <m/>
    <m/>
    <m/>
    <m/>
    <n v="3"/>
    <n v="4"/>
    <n v="850"/>
    <s v="HAMPSHIRE"/>
    <s v="Resourced Provision - Ashley Junior LSU (MLD)"/>
    <d v="2024-09-01T00:00:00"/>
    <m/>
    <x v="3"/>
    <n v="0"/>
    <d v="2025-09-01T00:00:00"/>
    <d v="2025-12-31T00:00:00"/>
    <n v="1"/>
  </r>
  <r>
    <x v="48"/>
    <m/>
    <m/>
    <m/>
    <m/>
    <m/>
    <n v="2"/>
    <n v="3"/>
    <n v="850"/>
    <s v="HAMPSHIRE"/>
    <s v="Resourced Provision - Ashley Junior LSU (SLCN)"/>
    <d v="2025-09-01T00:00:00"/>
    <m/>
    <x v="2"/>
    <n v="0"/>
    <d v="2025-09-01T00:00:00"/>
    <d v="2025-12-31T00:00:00"/>
    <n v="1"/>
  </r>
  <r>
    <x v="48"/>
    <m/>
    <m/>
    <m/>
    <m/>
    <m/>
    <n v="6"/>
    <n v="7"/>
    <n v="850"/>
    <s v="HAMPSHIRE"/>
    <s v="Resourced Provision - Ashley Junior LSU (SLCN)"/>
    <d v="2021-09-01T00:00:00"/>
    <d v="2025-08-31T00:00:00"/>
    <x v="2"/>
    <n v="0"/>
    <s v=""/>
    <s v=""/>
    <n v="0"/>
  </r>
  <r>
    <x v="48"/>
    <m/>
    <m/>
    <m/>
    <m/>
    <m/>
    <n v="6"/>
    <n v="7"/>
    <n v="850"/>
    <s v="HAMPSHIRE"/>
    <s v="Resourced Provision - Ashley Junior LSU (SLCN)"/>
    <d v="2021-09-01T00:00:00"/>
    <d v="2025-08-31T00:00:00"/>
    <x v="2"/>
    <n v="0"/>
    <s v=""/>
    <s v=""/>
    <n v="0"/>
  </r>
  <r>
    <x v="48"/>
    <m/>
    <m/>
    <m/>
    <m/>
    <m/>
    <n v="4"/>
    <n v="5"/>
    <n v="850"/>
    <s v="HAMPSHIRE"/>
    <s v="Resourced Provision - Ashley Junior LSU (SLCN)"/>
    <d v="2023-09-01T00:00:00"/>
    <m/>
    <x v="2"/>
    <n v="0"/>
    <d v="2025-09-01T00:00:00"/>
    <d v="2025-12-31T00:00:00"/>
    <n v="1"/>
  </r>
  <r>
    <x v="48"/>
    <m/>
    <m/>
    <m/>
    <m/>
    <m/>
    <n v="5"/>
    <n v="6"/>
    <n v="850"/>
    <s v="HAMPSHIRE"/>
    <s v="Resourced Provision - Ashley Junior LSU (SLCN)"/>
    <d v="2022-09-01T00:00:00"/>
    <m/>
    <x v="2"/>
    <n v="0"/>
    <d v="2025-09-01T00:00:00"/>
    <d v="2025-12-31T00:00:00"/>
    <n v="1"/>
  </r>
  <r>
    <x v="48"/>
    <m/>
    <m/>
    <m/>
    <m/>
    <m/>
    <n v="5"/>
    <n v="6"/>
    <n v="850"/>
    <s v="HAMPSHIRE"/>
    <s v="Resourced Provision - Ashley Junior LSU (SLCN)"/>
    <d v="2022-09-01T00:00:00"/>
    <m/>
    <x v="2"/>
    <n v="0"/>
    <d v="2025-09-01T00:00:00"/>
    <d v="2025-12-31T00:00:00"/>
    <n v="1"/>
  </r>
  <r>
    <x v="48"/>
    <m/>
    <m/>
    <m/>
    <m/>
    <m/>
    <n v="2"/>
    <n v="3"/>
    <n v="850"/>
    <s v="HAMPSHIRE"/>
    <s v="Resourced Provision - Ashley Junior LSU (SLCN)"/>
    <d v="2025-09-01T00:00:00"/>
    <m/>
    <x v="2"/>
    <n v="0"/>
    <d v="2025-09-01T00:00:00"/>
    <d v="2025-12-31T00:00:00"/>
    <n v="1"/>
  </r>
  <r>
    <x v="48"/>
    <m/>
    <m/>
    <m/>
    <m/>
    <m/>
    <n v="3"/>
    <n v="4"/>
    <n v="850"/>
    <s v="HAMPSHIRE"/>
    <s v="Resourced Provision - Ashley Junior LSU (SLCN)"/>
    <d v="2024-09-01T00:00:00"/>
    <d v="2025-08-31T00:00:00"/>
    <x v="2"/>
    <n v="0"/>
    <s v=""/>
    <s v=""/>
    <n v="0"/>
  </r>
  <r>
    <x v="48"/>
    <m/>
    <m/>
    <m/>
    <m/>
    <m/>
    <n v="4"/>
    <n v="5"/>
    <n v="850"/>
    <s v="HAMPSHIRE"/>
    <s v="Resourced Provision - Ashley Junior LSU (MLD)"/>
    <d v="2023-09-01T00:00:00"/>
    <m/>
    <x v="3"/>
    <n v="0"/>
    <d v="2025-09-01T00:00:00"/>
    <d v="2025-12-31T00:00:00"/>
    <n v="1"/>
  </r>
  <r>
    <x v="48"/>
    <m/>
    <m/>
    <m/>
    <m/>
    <m/>
    <n v="4"/>
    <n v="5"/>
    <n v="850"/>
    <s v="HAMPSHIRE"/>
    <s v="Resourced Provision - Ashley Junior LSU (SLCN)"/>
    <d v="2023-09-01T00:00:00"/>
    <m/>
    <x v="2"/>
    <n v="0"/>
    <d v="2025-09-01T00:00:00"/>
    <d v="2025-12-31T00:00:00"/>
    <n v="1"/>
  </r>
  <r>
    <x v="48"/>
    <m/>
    <m/>
    <m/>
    <m/>
    <m/>
    <n v="4"/>
    <n v="5"/>
    <n v="850"/>
    <s v="HAMPSHIRE"/>
    <s v="Resourced Provision - Ashley Junior LSU (SLCN)"/>
    <d v="2023-09-01T00:00:00"/>
    <m/>
    <x v="2"/>
    <n v="0"/>
    <d v="2025-09-01T00:00:00"/>
    <d v="2025-12-31T00:00:00"/>
    <n v="1"/>
  </r>
  <r>
    <x v="48"/>
    <m/>
    <m/>
    <m/>
    <m/>
    <m/>
    <n v="5"/>
    <n v="6"/>
    <n v="850"/>
    <s v="HAMPSHIRE"/>
    <s v="Resourced Provision - Ashley Junior LSU (MLD)"/>
    <d v="2022-09-01T00:00:00"/>
    <m/>
    <x v="3"/>
    <n v="0"/>
    <d v="2025-09-01T00:00:00"/>
    <d v="2025-12-31T00:00:00"/>
    <n v="1"/>
  </r>
  <r>
    <x v="49"/>
    <m/>
    <m/>
    <m/>
    <m/>
    <m/>
    <n v="5"/>
    <n v="6"/>
    <n v="850"/>
    <s v="HAMPSHIRE"/>
    <s v="Resourced Provision - Crofton School"/>
    <d v="2025-09-01T00:00:00"/>
    <m/>
    <x v="4"/>
    <n v="0"/>
    <d v="2025-09-01T00:00:00"/>
    <d v="2025-12-31T00:00:00"/>
    <n v="1"/>
  </r>
  <r>
    <x v="49"/>
    <m/>
    <m/>
    <m/>
    <m/>
    <m/>
    <n v="7"/>
    <n v="8"/>
    <n v="850"/>
    <s v="HAMPSHIRE"/>
    <s v="Resourced Provision - Crofton School"/>
    <d v="2024-09-01T00:00:00"/>
    <m/>
    <x v="4"/>
    <n v="0"/>
    <d v="2025-09-01T00:00:00"/>
    <d v="2025-12-31T00:00:00"/>
    <n v="1"/>
  </r>
  <r>
    <x v="49"/>
    <m/>
    <m/>
    <m/>
    <m/>
    <m/>
    <n v="10"/>
    <n v="11"/>
    <n v="850"/>
    <s v="HAMPSHIRE"/>
    <s v="Resourced Provision - Crofton School"/>
    <d v="2021-09-01T00:00:00"/>
    <m/>
    <x v="4"/>
    <n v="0"/>
    <d v="2025-09-01T00:00:00"/>
    <d v="2025-12-31T00:00:00"/>
    <n v="1"/>
  </r>
  <r>
    <x v="49"/>
    <m/>
    <m/>
    <m/>
    <m/>
    <m/>
    <n v="11"/>
    <n v="12"/>
    <n v="850"/>
    <s v="HAMPSHIRE"/>
    <s v="Resourced Provision - Crofton School"/>
    <d v="2021-09-01T00:00:00"/>
    <d v="2025-08-31T00:00:00"/>
    <x v="4"/>
    <n v="0"/>
    <s v=""/>
    <s v=""/>
    <n v="0"/>
  </r>
  <r>
    <x v="49"/>
    <m/>
    <m/>
    <m/>
    <m/>
    <m/>
    <n v="9"/>
    <n v="10"/>
    <n v="850"/>
    <s v="HAMPSHIRE"/>
    <s v="Resourced Provision - Crofton School"/>
    <d v="2022-09-01T00:00:00"/>
    <m/>
    <x v="4"/>
    <n v="0"/>
    <d v="2025-09-01T00:00:00"/>
    <d v="2025-12-31T00:00:00"/>
    <n v="1"/>
  </r>
  <r>
    <x v="49"/>
    <m/>
    <m/>
    <m/>
    <m/>
    <m/>
    <n v="11"/>
    <n v="12"/>
    <n v="850"/>
    <s v="HAMPSHIRE"/>
    <s v="Resourced Provision - Crofton School"/>
    <d v="2020-09-01T00:00:00"/>
    <d v="2025-08-31T00:00:00"/>
    <x v="4"/>
    <n v="0"/>
    <s v=""/>
    <s v=""/>
    <n v="0"/>
  </r>
  <r>
    <x v="49"/>
    <m/>
    <m/>
    <m/>
    <m/>
    <m/>
    <n v="8"/>
    <n v="9"/>
    <n v="850"/>
    <s v="HAMPSHIRE"/>
    <s v="Resourced Provision - Crofton School"/>
    <d v="2023-09-01T00:00:00"/>
    <m/>
    <x v="4"/>
    <n v="0"/>
    <d v="2025-09-01T00:00:00"/>
    <d v="2025-12-31T00:00:00"/>
    <n v="1"/>
  </r>
  <r>
    <x v="49"/>
    <m/>
    <m/>
    <m/>
    <m/>
    <m/>
    <n v="7"/>
    <n v="8"/>
    <n v="850"/>
    <s v="HAMPSHIRE"/>
    <s v="Resourced Provision - Crofton School"/>
    <d v="2024-09-01T00:00:00"/>
    <m/>
    <x v="4"/>
    <n v="0"/>
    <d v="2025-09-01T00:00:00"/>
    <d v="2025-12-31T00:00:00"/>
    <n v="1"/>
  </r>
  <r>
    <x v="49"/>
    <m/>
    <m/>
    <m/>
    <m/>
    <m/>
    <n v="9"/>
    <n v="10"/>
    <n v="850"/>
    <s v="HAMPSHIRE"/>
    <s v="Resourced Provision - Crofton School"/>
    <d v="2023-03-13T00:00:00"/>
    <m/>
    <x v="4"/>
    <n v="0"/>
    <d v="2025-09-01T00:00:00"/>
    <d v="2025-12-31T00:00:00"/>
    <n v="1"/>
  </r>
  <r>
    <x v="49"/>
    <m/>
    <m/>
    <m/>
    <m/>
    <m/>
    <n v="5"/>
    <n v="6"/>
    <n v="850"/>
    <s v="HAMPSHIRE"/>
    <s v="Resourced Provision - Crofton School"/>
    <d v="2025-09-01T00:00:00"/>
    <m/>
    <x v="4"/>
    <n v="0"/>
    <d v="2025-09-01T00:00:00"/>
    <d v="2025-12-31T00:00:00"/>
    <n v="1"/>
  </r>
  <r>
    <x v="49"/>
    <m/>
    <m/>
    <m/>
    <m/>
    <m/>
    <n v="8"/>
    <n v="9"/>
    <n v="850"/>
    <s v="HAMPSHIRE"/>
    <s v="Resourced Provision - Crofton School"/>
    <d v="2023-09-01T00:00:00"/>
    <m/>
    <x v="4"/>
    <n v="0"/>
    <d v="2025-09-01T00:00:00"/>
    <d v="2025-12-31T00:00:00"/>
    <n v="1"/>
  </r>
  <r>
    <x v="49"/>
    <m/>
    <m/>
    <m/>
    <m/>
    <m/>
    <n v="7"/>
    <n v="8"/>
    <n v="850"/>
    <s v="HAMPSHIRE"/>
    <s v="Resourced Provision - Crofton School"/>
    <d v="2024-09-01T00:00:00"/>
    <m/>
    <x v="4"/>
    <n v="0"/>
    <d v="2025-09-01T00:00:00"/>
    <d v="2025-12-31T00:00:00"/>
    <n v="1"/>
  </r>
  <r>
    <x v="49"/>
    <m/>
    <m/>
    <m/>
    <m/>
    <m/>
    <n v="10"/>
    <n v="11"/>
    <n v="850"/>
    <s v="HAMPSHIRE"/>
    <s v="Resourced Provision - Crofton School"/>
    <d v="2021-09-01T00:00:00"/>
    <m/>
    <x v="4"/>
    <n v="0"/>
    <d v="2025-09-01T00:00:00"/>
    <d v="2025-12-31T00:00:00"/>
    <n v="1"/>
  </r>
  <r>
    <x v="49"/>
    <m/>
    <m/>
    <m/>
    <m/>
    <m/>
    <n v="8"/>
    <n v="9"/>
    <n v="850"/>
    <s v="HAMPSHIRE"/>
    <s v="Resourced Provision - Crofton School"/>
    <d v="2023-09-01T00:00:00"/>
    <m/>
    <x v="4"/>
    <n v="0"/>
    <d v="2025-09-01T00:00:00"/>
    <d v="2025-12-31T00:00:00"/>
    <n v="1"/>
  </r>
  <r>
    <x v="50"/>
    <m/>
    <m/>
    <m/>
    <m/>
    <m/>
    <n v="5"/>
    <n v="6"/>
    <n v="850"/>
    <s v="HAMPSHIRE"/>
    <s v="Resourced Provision - Applemore College (ASC)"/>
    <d v="2025-09-01T00:00:00"/>
    <m/>
    <x v="4"/>
    <n v="0"/>
    <d v="2025-09-01T00:00:00"/>
    <d v="2025-12-31T00:00:00"/>
    <n v="1"/>
  </r>
  <r>
    <x v="50"/>
    <m/>
    <m/>
    <m/>
    <m/>
    <m/>
    <n v="5"/>
    <n v="6"/>
    <n v="850"/>
    <s v="HAMPSHIRE"/>
    <s v="Resourced Provision - Applemore College (ASC)"/>
    <d v="2025-09-01T00:00:00"/>
    <m/>
    <x v="4"/>
    <n v="0"/>
    <d v="2025-09-01T00:00:00"/>
    <d v="2025-12-31T00:00:00"/>
    <n v="1"/>
  </r>
  <r>
    <x v="50"/>
    <m/>
    <m/>
    <m/>
    <m/>
    <m/>
    <n v="9"/>
    <n v="10"/>
    <n v="850"/>
    <s v="HAMPSHIRE"/>
    <s v="Resourced Provision - Applemore College (SpLD)"/>
    <d v="2022-09-01T00:00:00"/>
    <m/>
    <x v="7"/>
    <n v="0"/>
    <d v="2025-09-01T00:00:00"/>
    <d v="2025-12-31T00:00:00"/>
    <n v="1"/>
  </r>
  <r>
    <x v="50"/>
    <m/>
    <m/>
    <m/>
    <m/>
    <m/>
    <n v="7"/>
    <n v="8"/>
    <n v="850"/>
    <s v="HAMPSHIRE"/>
    <s v="Resourced Provision - Applemore College (SpLD)"/>
    <d v="2024-09-01T00:00:00"/>
    <m/>
    <x v="7"/>
    <n v="0"/>
    <d v="2025-09-01T00:00:00"/>
    <d v="2025-12-31T00:00:00"/>
    <n v="1"/>
  </r>
  <r>
    <x v="50"/>
    <m/>
    <m/>
    <m/>
    <m/>
    <m/>
    <n v="11"/>
    <n v="12"/>
    <n v="850"/>
    <s v="HAMPSHIRE"/>
    <s v="Resourced Provision - Applemore College (SpLD)"/>
    <d v="2020-09-01T00:00:00"/>
    <d v="2025-08-31T00:00:00"/>
    <x v="7"/>
    <n v="0"/>
    <s v=""/>
    <s v=""/>
    <n v="0"/>
  </r>
  <r>
    <x v="50"/>
    <m/>
    <m/>
    <m/>
    <m/>
    <m/>
    <n v="10"/>
    <n v="11"/>
    <n v="850"/>
    <s v="HAMPSHIRE"/>
    <s v="Resourced Provision - Applemore College (SpLD)"/>
    <d v="2021-09-01T00:00:00"/>
    <m/>
    <x v="7"/>
    <n v="0"/>
    <d v="2025-09-01T00:00:00"/>
    <d v="2025-12-31T00:00:00"/>
    <n v="1"/>
  </r>
  <r>
    <x v="50"/>
    <m/>
    <m/>
    <m/>
    <m/>
    <m/>
    <n v="7"/>
    <n v="8"/>
    <n v="850"/>
    <s v="HAMPSHIRE"/>
    <s v="Resourced Provision - Applemore College (SpLD)"/>
    <d v="2024-09-01T00:00:00"/>
    <m/>
    <x v="7"/>
    <n v="0"/>
    <d v="2025-09-01T00:00:00"/>
    <d v="2025-12-31T00:00:00"/>
    <n v="1"/>
  </r>
  <r>
    <x v="50"/>
    <m/>
    <m/>
    <m/>
    <m/>
    <m/>
    <n v="5"/>
    <n v="6"/>
    <n v="850"/>
    <s v="HAMPSHIRE"/>
    <s v="Resourced Provision - Applemore College (ASC)"/>
    <d v="2025-09-01T00:00:00"/>
    <m/>
    <x v="4"/>
    <n v="0"/>
    <d v="2025-09-01T00:00:00"/>
    <d v="2025-12-31T00:00:00"/>
    <n v="1"/>
  </r>
  <r>
    <x v="50"/>
    <m/>
    <m/>
    <m/>
    <m/>
    <m/>
    <n v="9"/>
    <n v="10"/>
    <n v="850"/>
    <s v="HAMPSHIRE"/>
    <s v="Resourced Provision - Applemore College (SpLD)"/>
    <d v="2022-09-01T00:00:00"/>
    <m/>
    <x v="7"/>
    <n v="0"/>
    <d v="2025-09-01T00:00:00"/>
    <d v="2025-12-31T00:00:00"/>
    <n v="1"/>
  </r>
  <r>
    <x v="50"/>
    <m/>
    <m/>
    <m/>
    <m/>
    <m/>
    <n v="8"/>
    <n v="9"/>
    <n v="850"/>
    <s v="HAMPSHIRE"/>
    <s v="Resourced Provision - Applemore College (SpLD)"/>
    <d v="2025-09-01T00:00:00"/>
    <m/>
    <x v="7"/>
    <n v="0"/>
    <d v="2025-09-01T00:00:00"/>
    <d v="2025-12-31T00:00:00"/>
    <n v="1"/>
  </r>
  <r>
    <x v="50"/>
    <m/>
    <m/>
    <m/>
    <m/>
    <m/>
    <n v="10"/>
    <n v="11"/>
    <n v="850"/>
    <s v="HAMPSHIRE"/>
    <s v="Resourced Provision - Applemore College (SpLD)"/>
    <d v="2021-09-01T00:00:00"/>
    <m/>
    <x v="7"/>
    <n v="0"/>
    <d v="2025-09-01T00:00:00"/>
    <d v="2025-12-31T00:00:00"/>
    <n v="1"/>
  </r>
  <r>
    <x v="50"/>
    <m/>
    <m/>
    <m/>
    <m/>
    <m/>
    <n v="10"/>
    <n v="11"/>
    <n v="850"/>
    <s v="HAMPSHIRE"/>
    <s v="Resourced Provision - Applemore College (SpLD)"/>
    <d v="2021-09-01T00:00:00"/>
    <m/>
    <x v="7"/>
    <n v="0"/>
    <d v="2025-09-01T00:00:00"/>
    <d v="2025-12-31T00:00:00"/>
    <n v="1"/>
  </r>
  <r>
    <x v="50"/>
    <m/>
    <m/>
    <m/>
    <m/>
    <m/>
    <n v="11"/>
    <n v="12"/>
    <n v="850"/>
    <s v="HAMPSHIRE"/>
    <s v="Resourced Provision - Applemore College (SpLD)"/>
    <d v="2020-09-01T00:00:00"/>
    <d v="2025-08-31T00:00:00"/>
    <x v="7"/>
    <n v="0"/>
    <s v=""/>
    <s v=""/>
    <n v="0"/>
  </r>
  <r>
    <x v="50"/>
    <m/>
    <m/>
    <m/>
    <m/>
    <m/>
    <n v="11"/>
    <n v="12"/>
    <n v="850"/>
    <s v="HAMPSHIRE"/>
    <s v="Resourced Provision - Applemore College (SpLD)"/>
    <d v="2020-09-01T00:00:00"/>
    <d v="2025-08-31T00:00:00"/>
    <x v="7"/>
    <n v="0"/>
    <s v=""/>
    <s v=""/>
    <n v="0"/>
  </r>
  <r>
    <x v="50"/>
    <m/>
    <m/>
    <m/>
    <m/>
    <m/>
    <n v="9"/>
    <n v="10"/>
    <n v="850"/>
    <s v="HAMPSHIRE"/>
    <s v="Resourced Provision - Applemore College (SpLD)"/>
    <d v="2022-09-01T00:00:00"/>
    <m/>
    <x v="7"/>
    <n v="0"/>
    <d v="2025-09-01T00:00:00"/>
    <d v="2025-12-31T00:00:00"/>
    <n v="1"/>
  </r>
  <r>
    <x v="50"/>
    <m/>
    <m/>
    <m/>
    <m/>
    <m/>
    <n v="11"/>
    <n v="12"/>
    <n v="850"/>
    <s v="HAMPSHIRE"/>
    <s v="Resourced Provision - Applemore College (SpLD)"/>
    <d v="2021-09-01T00:00:00"/>
    <d v="2025-08-31T00:00:00"/>
    <x v="7"/>
    <n v="0"/>
    <s v=""/>
    <s v=""/>
    <n v="0"/>
  </r>
  <r>
    <x v="51"/>
    <m/>
    <m/>
    <m/>
    <m/>
    <m/>
    <n v="7"/>
    <n v="8"/>
    <n v="850"/>
    <s v="HAMPSHIRE"/>
    <s v="Resourced Provision - Cams Hill School"/>
    <d v="2024-09-16T00:00:00"/>
    <m/>
    <x v="5"/>
    <n v="0"/>
    <d v="2025-09-01T00:00:00"/>
    <d v="2025-12-31T00:00:00"/>
    <n v="1"/>
  </r>
  <r>
    <x v="51"/>
    <m/>
    <m/>
    <m/>
    <m/>
    <m/>
    <n v="7"/>
    <n v="8"/>
    <n v="850"/>
    <s v="HAMPSHIRE"/>
    <s v="Resourced Provision - Cams Hill School"/>
    <d v="2024-09-01T00:00:00"/>
    <m/>
    <x v="5"/>
    <n v="0"/>
    <d v="2025-09-01T00:00:00"/>
    <d v="2025-12-31T00:00:00"/>
    <n v="1"/>
  </r>
  <r>
    <x v="51"/>
    <m/>
    <m/>
    <m/>
    <m/>
    <m/>
    <n v="8"/>
    <n v="9"/>
    <n v="850"/>
    <s v="HAMPSHIRE"/>
    <s v="Resourced Provision - Cams Hill School"/>
    <d v="2024-09-01T00:00:00"/>
    <m/>
    <x v="5"/>
    <n v="0"/>
    <d v="2025-09-01T00:00:00"/>
    <d v="2025-12-31T00:00:00"/>
    <n v="1"/>
  </r>
  <r>
    <x v="51"/>
    <m/>
    <m/>
    <m/>
    <m/>
    <m/>
    <n v="7"/>
    <n v="8"/>
    <n v="850"/>
    <s v="HAMPSHIRE"/>
    <s v="Resourced Provision - Cams Hill School"/>
    <d v="2024-10-07T00:00:00"/>
    <m/>
    <x v="5"/>
    <n v="0"/>
    <d v="2025-09-01T00:00:00"/>
    <d v="2025-12-31T00:00:00"/>
    <n v="1"/>
  </r>
  <r>
    <x v="51"/>
    <m/>
    <m/>
    <m/>
    <m/>
    <m/>
    <n v="7"/>
    <n v="8"/>
    <n v="850"/>
    <s v="HAMPSHIRE"/>
    <s v="Resourced Provision - Cams Hill School"/>
    <d v="2024-09-25T00:00:00"/>
    <m/>
    <x v="5"/>
    <n v="0"/>
    <d v="2025-09-01T00:00:00"/>
    <d v="2025-12-31T00:00:00"/>
    <n v="1"/>
  </r>
  <r>
    <x v="0"/>
    <m/>
    <m/>
    <m/>
    <m/>
    <m/>
    <n v="2"/>
    <n v="3"/>
    <n v="839"/>
    <s v="BOURNEMOUTH, CHRISTCHURCH and POOLE"/>
    <s v="Resourced Provision - Ashley Infant School"/>
    <d v="2023-10-11T00:00:00"/>
    <d v="2025-08-31T00:00:00"/>
    <x v="0"/>
    <n v="0"/>
    <s v=""/>
    <s v=""/>
    <n v="0"/>
  </r>
  <r>
    <x v="26"/>
    <m/>
    <m/>
    <m/>
    <m/>
    <m/>
    <n v="4"/>
    <n v="5"/>
    <n v="839"/>
    <s v="BOURNEMOUTH, CHRISTCHURCH and POOLE"/>
    <s v="Resourced Provision - Pennington Junior School"/>
    <d v="2023-09-01T00:00:00"/>
    <m/>
    <x v="5"/>
    <n v="0"/>
    <d v="2025-09-01T00:00:00"/>
    <d v="2025-12-31T00:00:00"/>
    <n v="1"/>
  </r>
  <r>
    <x v="25"/>
    <m/>
    <m/>
    <m/>
    <m/>
    <m/>
    <n v="5"/>
    <n v="6"/>
    <n v="851"/>
    <s v="PORTSMOUTH"/>
    <s v="Resourced Provision - Medstead CofE Primary School"/>
    <d v="2024-11-18T00:00:00"/>
    <m/>
    <x v="6"/>
    <s v="HI"/>
    <d v="2025-09-01T00:00:00"/>
    <d v="2025-12-31T00:00:00"/>
    <n v="1"/>
  </r>
  <r>
    <x v="27"/>
    <m/>
    <m/>
    <m/>
    <m/>
    <m/>
    <n v="0"/>
    <n v="1"/>
    <n v="851"/>
    <s v="PORTSMOUTH"/>
    <s v="Resourced Provision - St Judes Catholic Primary School"/>
    <d v="2024-09-01T00:00:00"/>
    <m/>
    <x v="6"/>
    <s v="HI"/>
    <d v="2025-09-01T00:00:00"/>
    <d v="2025-12-31T00:00:00"/>
    <n v="1"/>
  </r>
  <r>
    <x v="15"/>
    <m/>
    <m/>
    <m/>
    <m/>
    <m/>
    <n v="2"/>
    <n v="3"/>
    <n v="852"/>
    <s v="SOUTHAMPTON"/>
    <s v="Resourced Provision - Kings Copse Primary School"/>
    <d v="2023-09-01T00:00:00"/>
    <m/>
    <x v="1"/>
    <s v="VI"/>
    <d v="2025-09-01T00:00:00"/>
    <d v="2025-12-31T00:00:00"/>
    <n v="1"/>
  </r>
  <r>
    <x v="15"/>
    <m/>
    <m/>
    <m/>
    <m/>
    <m/>
    <n v="6"/>
    <n v="7"/>
    <n v="852"/>
    <s v="SOUTHAMPTON"/>
    <s v="Resourced Provision - Kings Copse Primary School"/>
    <d v="2023-04-01T00:00:00"/>
    <d v="2025-08-31T00:00:00"/>
    <x v="1"/>
    <n v="0"/>
    <s v=""/>
    <s v=""/>
    <n v="0"/>
  </r>
  <r>
    <x v="15"/>
    <m/>
    <m/>
    <m/>
    <m/>
    <m/>
    <n v="-1"/>
    <n v="0"/>
    <n v="938"/>
    <s v="WEST SUSSEX"/>
    <s v="Resourced Provision - Kings Copse Primary School"/>
    <d v="2025-09-01T00:00:00"/>
    <m/>
    <x v="1"/>
    <n v="0"/>
    <d v="2025-09-01T00:00:00"/>
    <d v="2025-12-31T00:00:00"/>
    <n v="1"/>
  </r>
  <r>
    <x v="25"/>
    <m/>
    <m/>
    <m/>
    <m/>
    <m/>
    <n v="0"/>
    <n v="1"/>
    <n v="852"/>
    <s v="SOUTHAMPTON"/>
    <s v="Resourced Provision - Medstead CofE Primary School"/>
    <d v="2024-09-06T00:00:00"/>
    <m/>
    <x v="6"/>
    <s v="HI"/>
    <d v="2025-09-01T00:00:00"/>
    <d v="2025-12-31T00:00:00"/>
    <n v="1"/>
  </r>
  <r>
    <x v="32"/>
    <m/>
    <m/>
    <m/>
    <m/>
    <m/>
    <n v="10"/>
    <n v="11"/>
    <n v="852"/>
    <s v="SOUTHAMPTON"/>
    <s v="Resourced Provision - The Toynbee School"/>
    <d v="2021-09-02T00:00:00"/>
    <m/>
    <x v="1"/>
    <n v="0"/>
    <d v="2025-09-01T00:00:00"/>
    <d v="2025-12-31T00:00:00"/>
    <n v="1"/>
  </r>
  <r>
    <x v="32"/>
    <m/>
    <m/>
    <m/>
    <m/>
    <m/>
    <n v="10"/>
    <n v="11"/>
    <n v="852"/>
    <s v="SOUTHAMPTON"/>
    <s v="Resourced Provision - The Toynbee School"/>
    <d v="2021-09-02T00:00:00"/>
    <m/>
    <x v="1"/>
    <n v="0"/>
    <d v="2025-09-01T00:00:00"/>
    <d v="2025-12-31T00:00:00"/>
    <n v="1"/>
  </r>
  <r>
    <x v="32"/>
    <m/>
    <m/>
    <m/>
    <m/>
    <m/>
    <n v="7"/>
    <n v="8"/>
    <n v="852"/>
    <s v="SOUTHAMPTON"/>
    <s v="Resourced Provision - The Toynbee School"/>
    <d v="2024-09-01T00:00:00"/>
    <m/>
    <x v="1"/>
    <n v="0"/>
    <d v="2025-09-01T00:00:00"/>
    <d v="2025-12-31T00:00:00"/>
    <n v="1"/>
  </r>
  <r>
    <x v="32"/>
    <m/>
    <m/>
    <m/>
    <m/>
    <m/>
    <n v="7"/>
    <n v="8"/>
    <n v="852"/>
    <s v="SOUTHAMPTON"/>
    <s v="Resourced Provision - The Toynbee School"/>
    <d v="2024-09-01T00:00:00"/>
    <m/>
    <x v="1"/>
    <n v="0"/>
    <d v="2025-09-01T00:00:00"/>
    <d v="2025-12-31T00:00:00"/>
    <n v="1"/>
  </r>
  <r>
    <x v="32"/>
    <m/>
    <m/>
    <m/>
    <m/>
    <m/>
    <n v="10"/>
    <n v="11"/>
    <n v="852"/>
    <s v="SOUTHAMPTON"/>
    <s v="Resourced Provision - The Toynbee School"/>
    <d v="2021-09-02T00:00:00"/>
    <m/>
    <x v="1"/>
    <n v="0"/>
    <d v="2025-09-01T00:00:00"/>
    <d v="2025-12-31T00:00:00"/>
    <n v="1"/>
  </r>
  <r>
    <x v="32"/>
    <m/>
    <m/>
    <m/>
    <m/>
    <m/>
    <n v="11"/>
    <n v="12"/>
    <n v="852"/>
    <s v="SOUTHAMPTON"/>
    <s v="Resourced Provision - The Toynbee School"/>
    <d v="2020-09-01T00:00:00"/>
    <d v="2025-08-31T00:00:00"/>
    <x v="1"/>
    <n v="0"/>
    <s v=""/>
    <s v=""/>
    <n v="0"/>
  </r>
  <r>
    <x v="33"/>
    <m/>
    <m/>
    <m/>
    <m/>
    <m/>
    <n v="11"/>
    <n v="12"/>
    <n v="852"/>
    <s v="SOUTHAMPTON"/>
    <s v="Resourced Provision - (PD - S) Noadswood School"/>
    <d v="2020-09-01T00:00:00"/>
    <d v="2025-08-31T00:00:00"/>
    <x v="8"/>
    <n v="0"/>
    <s v=""/>
    <s v=""/>
    <n v="0"/>
  </r>
  <r>
    <x v="32"/>
    <m/>
    <m/>
    <m/>
    <m/>
    <m/>
    <n v="9"/>
    <n v="10"/>
    <n v="865"/>
    <s v="WILTSHIRE"/>
    <s v="Resourced Provision - The Toynbee School"/>
    <d v="2022-09-01T00:00:00"/>
    <m/>
    <x v="1"/>
    <n v="0"/>
    <d v="2025-09-01T00:00:00"/>
    <d v="2025-12-31T00:00:00"/>
    <n v="1"/>
  </r>
  <r>
    <x v="1"/>
    <m/>
    <m/>
    <m/>
    <m/>
    <m/>
    <n v="4"/>
    <n v="5"/>
    <n v="936"/>
    <s v="SURREY"/>
    <s v="Resourced Provision - Great Binfields Primary"/>
    <d v="2020-09-01T00:00:00"/>
    <m/>
    <x v="1"/>
    <n v="0"/>
    <d v="2025-09-01T00:00:00"/>
    <d v="2025-12-31T00:00:00"/>
    <n v="1"/>
  </r>
  <r>
    <x v="18"/>
    <m/>
    <m/>
    <m/>
    <m/>
    <m/>
    <n v="5"/>
    <n v="6"/>
    <n v="936"/>
    <s v="SURREY"/>
    <s v="Resourced Provision - South Farnborough Junior"/>
    <d v="2023-05-26T00:00:00"/>
    <m/>
    <x v="3"/>
    <n v="0"/>
    <d v="2025-09-01T00:00:00"/>
    <d v="2025-12-31T00:00:00"/>
    <n v="1"/>
  </r>
  <r>
    <x v="18"/>
    <m/>
    <m/>
    <m/>
    <m/>
    <m/>
    <n v="6"/>
    <n v="7"/>
    <n v="936"/>
    <s v="SURREY"/>
    <s v="Resourced Provision - South Farnborough Junior"/>
    <d v="2021-09-01T00:00:00"/>
    <d v="2025-08-31T00:00:00"/>
    <x v="3"/>
    <n v="0"/>
    <s v=""/>
    <s v=""/>
    <n v="0"/>
  </r>
  <r>
    <x v="43"/>
    <m/>
    <m/>
    <m/>
    <m/>
    <m/>
    <n v="9"/>
    <n v="10"/>
    <n v="936"/>
    <s v="SURREY"/>
    <s v="Resourced Provision - Cove School"/>
    <d v="2022-09-01T00:00:00"/>
    <m/>
    <x v="6"/>
    <n v="0"/>
    <d v="2025-09-01T00:00:00"/>
    <d v="2025-12-31T00:00:00"/>
    <n v="1"/>
  </r>
  <r>
    <x v="10"/>
    <m/>
    <m/>
    <m/>
    <m/>
    <m/>
    <n v="3"/>
    <n v="4"/>
    <n v="938"/>
    <s v="WEST SUSSEX"/>
    <s v="Resourced Provision - Liss Junior School"/>
    <d v="2024-09-01T00:00:00"/>
    <m/>
    <x v="3"/>
    <n v="0"/>
    <d v="2025-09-01T00:00:00"/>
    <d v="2025-12-31T00:00:00"/>
    <n v="1"/>
  </r>
  <r>
    <x v="52"/>
    <m/>
    <m/>
    <m/>
    <m/>
    <m/>
    <m/>
    <m/>
    <m/>
    <m/>
    <s v="Resourced Provision - Fleet Infant School"/>
    <m/>
    <m/>
    <x v="4"/>
    <m/>
    <m/>
    <m/>
    <n v="0"/>
  </r>
  <r>
    <x v="53"/>
    <m/>
    <m/>
    <m/>
    <m/>
    <m/>
    <m/>
    <m/>
    <m/>
    <m/>
    <s v="Resourced Provision - Bartley Junior School"/>
    <m/>
    <m/>
    <x v="5"/>
    <m/>
    <m/>
    <m/>
    <n v="0"/>
  </r>
  <r>
    <x v="54"/>
    <m/>
    <m/>
    <m/>
    <m/>
    <m/>
    <m/>
    <m/>
    <m/>
    <m/>
    <s v="Resourced Provision - Newtown Primary School"/>
    <m/>
    <m/>
    <x v="4"/>
    <m/>
    <m/>
    <m/>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47AF823-1474-4F6A-85BB-CD7015A4C3A0}" name="PivotTable2"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U4:X13" firstHeaderRow="1" firstDataRow="2" firstDataCol="1"/>
  <pivotFields count="18">
    <pivotField axis="axisRow" showAll="0">
      <items count="53">
        <item x="0"/>
        <item x="1"/>
        <item x="2"/>
        <item x="3"/>
        <item x="6"/>
        <item x="7"/>
        <item x="8"/>
        <item x="9"/>
        <item x="10"/>
        <item x="11"/>
        <item x="12"/>
        <item x="13"/>
        <item x="14"/>
        <item x="15"/>
        <item x="16"/>
        <item x="17"/>
        <item x="18"/>
        <item x="19"/>
        <item x="20"/>
        <item x="21"/>
        <item x="22"/>
        <item x="23"/>
        <item x="24"/>
        <item x="25"/>
        <item x="26"/>
        <item x="28"/>
        <item x="29"/>
        <item x="30"/>
        <item x="31"/>
        <item x="32"/>
        <item x="33"/>
        <item x="35"/>
        <item x="36"/>
        <item x="38"/>
        <item x="39"/>
        <item x="40"/>
        <item x="41"/>
        <item x="42"/>
        <item x="43"/>
        <item x="44"/>
        <item x="45"/>
        <item x="46"/>
        <item x="47"/>
        <item x="48"/>
        <item x="49"/>
        <item x="50"/>
        <item x="27"/>
        <item x="34"/>
        <item x="51"/>
        <item x="4"/>
        <item x="5"/>
        <item x="37"/>
        <item t="default"/>
      </items>
    </pivotField>
    <pivotField showAll="0"/>
    <pivotField numFmtId="1" showAll="0"/>
    <pivotField showAll="0"/>
    <pivotField showAll="0"/>
    <pivotField showAll="0"/>
    <pivotField showAll="0"/>
    <pivotField showAll="0"/>
    <pivotField showAll="0"/>
    <pivotField showAll="0"/>
    <pivotField showAll="0"/>
    <pivotField numFmtId="167" showAll="0"/>
    <pivotField showAll="0"/>
    <pivotField showAll="0"/>
    <pivotField axis="axisCol" showAll="0">
      <items count="4">
        <item h="1" x="0"/>
        <item x="2"/>
        <item x="1"/>
        <item t="default"/>
      </items>
    </pivotField>
    <pivotField showAll="0"/>
    <pivotField showAll="0"/>
    <pivotField dataField="1" showAll="0"/>
  </pivotFields>
  <rowFields count="1">
    <field x="0"/>
  </rowFields>
  <rowItems count="8">
    <i>
      <x v="13"/>
    </i>
    <i>
      <x v="15"/>
    </i>
    <i>
      <x v="19"/>
    </i>
    <i>
      <x v="23"/>
    </i>
    <i>
      <x v="29"/>
    </i>
    <i>
      <x v="38"/>
    </i>
    <i>
      <x v="46"/>
    </i>
    <i t="grand">
      <x/>
    </i>
  </rowItems>
  <colFields count="1">
    <field x="14"/>
  </colFields>
  <colItems count="3">
    <i>
      <x v="1"/>
    </i>
    <i>
      <x v="2"/>
    </i>
    <i t="grand">
      <x/>
    </i>
  </colItems>
  <dataFields count="1">
    <dataField name="Sum of FTE Autumn" fld="17" baseField="0" baseItem="0"/>
  </dataFields>
  <formats count="12">
    <format dxfId="27">
      <pivotArea type="origin" dataOnly="0" labelOnly="1" outline="0" fieldPosition="0"/>
    </format>
    <format dxfId="26">
      <pivotArea type="topRight" dataOnly="0" labelOnly="1" outline="0" fieldPosition="0"/>
    </format>
    <format dxfId="25">
      <pivotArea dataOnly="0" labelOnly="1" grandCol="1" outline="0" fieldPosition="0"/>
    </format>
    <format dxfId="24">
      <pivotArea dataOnly="0" outline="0" fieldPosition="0">
        <references count="1">
          <reference field="14" count="0"/>
        </references>
      </pivotArea>
    </format>
    <format dxfId="23">
      <pivotArea dataOnly="0" grandCol="1" outline="0" axis="axisCol" fieldPosition="0"/>
    </format>
    <format dxfId="22">
      <pivotArea outline="0" collapsedLevelsAreSubtotals="1" fieldPosition="0">
        <references count="1">
          <reference field="14" count="0" selected="0"/>
        </references>
      </pivotArea>
    </format>
    <format dxfId="21">
      <pivotArea field="14" type="button" dataOnly="0" labelOnly="1" outline="0" axis="axisCol" fieldPosition="0"/>
    </format>
    <format dxfId="20">
      <pivotArea type="topRight" dataOnly="0" labelOnly="1" outline="0" fieldPosition="0"/>
    </format>
    <format dxfId="19">
      <pivotArea dataOnly="0" labelOnly="1" fieldPosition="0">
        <references count="1">
          <reference field="14" count="0"/>
        </references>
      </pivotArea>
    </format>
    <format dxfId="18">
      <pivotArea grandCol="1" outline="0" collapsedLevelsAreSubtotals="1" fieldPosition="0"/>
    </format>
    <format dxfId="17">
      <pivotArea grandCol="1" outline="0" collapsedLevelsAreSubtotals="1" fieldPosition="0"/>
    </format>
    <format dxfId="1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0F7AE75-C291-4EFD-AAE1-AE877A60CC5B}" name="PivotTable6" cacheId="1"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A4:AL61" firstHeaderRow="1" firstDataRow="2" firstDataCol="1"/>
  <pivotFields count="18">
    <pivotField axis="axisRow" showAll="0">
      <items count="56">
        <item x="0"/>
        <item x="1"/>
        <item x="2"/>
        <item x="3"/>
        <item x="6"/>
        <item x="7"/>
        <item x="8"/>
        <item x="9"/>
        <item x="10"/>
        <item x="11"/>
        <item x="12"/>
        <item x="13"/>
        <item x="14"/>
        <item x="15"/>
        <item x="16"/>
        <item x="17"/>
        <item x="18"/>
        <item x="19"/>
        <item x="20"/>
        <item x="21"/>
        <item x="22"/>
        <item x="23"/>
        <item x="24"/>
        <item x="25"/>
        <item x="26"/>
        <item x="28"/>
        <item x="29"/>
        <item x="30"/>
        <item x="31"/>
        <item x="32"/>
        <item x="33"/>
        <item x="35"/>
        <item x="36"/>
        <item x="38"/>
        <item x="39"/>
        <item x="40"/>
        <item x="41"/>
        <item x="42"/>
        <item x="43"/>
        <item x="44"/>
        <item x="45"/>
        <item x="46"/>
        <item x="47"/>
        <item x="48"/>
        <item x="49"/>
        <item x="50"/>
        <item x="27"/>
        <item x="34"/>
        <item x="51"/>
        <item x="4"/>
        <item x="5"/>
        <item x="37"/>
        <item x="52"/>
        <item x="53"/>
        <item x="54"/>
        <item t="default"/>
      </items>
    </pivotField>
    <pivotField showAll="0"/>
    <pivotField numFmtId="1" showAll="0"/>
    <pivotField showAll="0"/>
    <pivotField showAll="0"/>
    <pivotField showAll="0"/>
    <pivotField showAll="0"/>
    <pivotField showAll="0"/>
    <pivotField showAll="0"/>
    <pivotField showAll="0"/>
    <pivotField showAll="0"/>
    <pivotField numFmtId="167" showAll="0"/>
    <pivotField showAll="0"/>
    <pivotField axis="axisCol" showAll="0">
      <items count="11">
        <item x="6"/>
        <item x="3"/>
        <item x="9"/>
        <item x="8"/>
        <item x="5"/>
        <item x="2"/>
        <item x="0"/>
        <item x="7"/>
        <item x="1"/>
        <item x="4"/>
        <item t="default"/>
      </items>
    </pivotField>
    <pivotField showAll="0"/>
    <pivotField showAll="0"/>
    <pivotField showAll="0"/>
    <pivotField dataField="1" showAll="0"/>
  </pivotFields>
  <rowFields count="1">
    <field x="0"/>
  </rowFields>
  <rowItems count="5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t="grand">
      <x/>
    </i>
  </rowItems>
  <colFields count="1">
    <field x="13"/>
  </colFields>
  <colItems count="11">
    <i>
      <x/>
    </i>
    <i>
      <x v="1"/>
    </i>
    <i>
      <x v="2"/>
    </i>
    <i>
      <x v="3"/>
    </i>
    <i>
      <x v="4"/>
    </i>
    <i>
      <x v="5"/>
    </i>
    <i>
      <x v="6"/>
    </i>
    <i>
      <x v="7"/>
    </i>
    <i>
      <x v="8"/>
    </i>
    <i>
      <x v="9"/>
    </i>
    <i t="grand">
      <x/>
    </i>
  </colItems>
  <dataFields count="1">
    <dataField name="Sum of FTE Autumn" fld="17" baseField="0" baseItem="0"/>
  </dataFields>
  <formats count="12">
    <format dxfId="39">
      <pivotArea grandCol="1" outline="0" collapsedLevelsAreSubtotals="1" fieldPosition="0"/>
    </format>
    <format dxfId="38">
      <pivotArea outline="0" collapsedLevelsAreSubtotals="1" fieldPosition="0"/>
    </format>
    <format dxfId="37">
      <pivotArea field="13" type="button" dataOnly="0" labelOnly="1" outline="0" axis="axisCol" fieldPosition="0"/>
    </format>
    <format dxfId="36">
      <pivotArea type="topRight" dataOnly="0" labelOnly="1" outline="0" fieldPosition="0"/>
    </format>
    <format dxfId="35">
      <pivotArea dataOnly="0" labelOnly="1" fieldPosition="0">
        <references count="1">
          <reference field="13" count="0"/>
        </references>
      </pivotArea>
    </format>
    <format dxfId="34">
      <pivotArea dataOnly="0" labelOnly="1" grandCol="1" outline="0" fieldPosition="0"/>
    </format>
    <format dxfId="33">
      <pivotArea outline="0" collapsedLevelsAreSubtotals="1" fieldPosition="0"/>
    </format>
    <format dxfId="32">
      <pivotArea field="13" type="button" dataOnly="0" labelOnly="1" outline="0" axis="axisCol" fieldPosition="0"/>
    </format>
    <format dxfId="31">
      <pivotArea type="topRight" dataOnly="0" labelOnly="1" outline="0" fieldPosition="0"/>
    </format>
    <format dxfId="30">
      <pivotArea dataOnly="0" labelOnly="1" fieldPosition="0">
        <references count="1">
          <reference field="13" count="0"/>
        </references>
      </pivotArea>
    </format>
    <format dxfId="29">
      <pivotArea dataOnly="0" labelOnly="1" grandCol="1" outline="0" fieldPosition="0"/>
    </format>
    <format dxfId="28">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A700A40-A8AE-43F4-92B9-655327490812}"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U27:X36" firstHeaderRow="1" firstDataRow="2" firstDataCol="1" rowPageCount="1" colPageCount="1"/>
  <pivotFields count="18">
    <pivotField axis="axisRow" showAll="0">
      <items count="53">
        <item x="0"/>
        <item x="1"/>
        <item x="2"/>
        <item x="3"/>
        <item x="6"/>
        <item x="7"/>
        <item x="8"/>
        <item x="9"/>
        <item x="10"/>
        <item x="11"/>
        <item x="12"/>
        <item x="13"/>
        <item x="14"/>
        <item x="15"/>
        <item x="16"/>
        <item x="17"/>
        <item x="18"/>
        <item x="19"/>
        <item x="20"/>
        <item x="21"/>
        <item x="22"/>
        <item x="23"/>
        <item x="24"/>
        <item x="25"/>
        <item x="26"/>
        <item x="28"/>
        <item x="29"/>
        <item x="30"/>
        <item x="31"/>
        <item x="32"/>
        <item x="33"/>
        <item x="35"/>
        <item x="36"/>
        <item x="38"/>
        <item x="39"/>
        <item x="40"/>
        <item x="41"/>
        <item x="42"/>
        <item x="43"/>
        <item x="44"/>
        <item x="45"/>
        <item x="46"/>
        <item x="47"/>
        <item x="48"/>
        <item x="49"/>
        <item x="50"/>
        <item x="27"/>
        <item x="34"/>
        <item x="51"/>
        <item x="4"/>
        <item x="5"/>
        <item x="37"/>
        <item t="default"/>
      </items>
    </pivotField>
    <pivotField showAll="0"/>
    <pivotField numFmtId="1" showAll="0"/>
    <pivotField showAll="0"/>
    <pivotField showAll="0"/>
    <pivotField showAll="0"/>
    <pivotField showAll="0"/>
    <pivotField showAll="0"/>
    <pivotField axis="axisPage" showAll="0">
      <items count="9">
        <item x="0"/>
        <item x="1"/>
        <item x="2"/>
        <item m="1" x="7"/>
        <item x="3"/>
        <item x="4"/>
        <item x="5"/>
        <item x="6"/>
        <item t="default"/>
      </items>
    </pivotField>
    <pivotField showAll="0"/>
    <pivotField showAll="0"/>
    <pivotField numFmtId="167" showAll="0"/>
    <pivotField showAll="0"/>
    <pivotField showAll="0"/>
    <pivotField axis="axisCol" showAll="0">
      <items count="4">
        <item h="1" x="0"/>
        <item x="2"/>
        <item x="1"/>
        <item t="default"/>
      </items>
    </pivotField>
    <pivotField showAll="0"/>
    <pivotField showAll="0"/>
    <pivotField dataField="1" showAll="0"/>
  </pivotFields>
  <rowFields count="1">
    <field x="0"/>
  </rowFields>
  <rowItems count="8">
    <i>
      <x v="13"/>
    </i>
    <i>
      <x v="15"/>
    </i>
    <i>
      <x v="19"/>
    </i>
    <i>
      <x v="23"/>
    </i>
    <i>
      <x v="29"/>
    </i>
    <i>
      <x v="38"/>
    </i>
    <i>
      <x v="46"/>
    </i>
    <i t="grand">
      <x/>
    </i>
  </rowItems>
  <colFields count="1">
    <field x="14"/>
  </colFields>
  <colItems count="3">
    <i>
      <x v="1"/>
    </i>
    <i>
      <x v="2"/>
    </i>
    <i t="grand">
      <x/>
    </i>
  </colItems>
  <pageFields count="1">
    <pageField fld="8" hier="-1"/>
  </pageFields>
  <dataFields count="1">
    <dataField name="Sum of FTE Autumn" fld="17" baseField="0" baseItem="0"/>
  </dataFields>
  <formats count="12">
    <format dxfId="51">
      <pivotArea type="origin" dataOnly="0" labelOnly="1" outline="0" fieldPosition="0"/>
    </format>
    <format dxfId="50">
      <pivotArea type="topRight" dataOnly="0" labelOnly="1" outline="0" fieldPosition="0"/>
    </format>
    <format dxfId="49">
      <pivotArea dataOnly="0" labelOnly="1" grandCol="1" outline="0" fieldPosition="0"/>
    </format>
    <format dxfId="48">
      <pivotArea dataOnly="0" outline="0" fieldPosition="0">
        <references count="1">
          <reference field="14" count="0"/>
        </references>
      </pivotArea>
    </format>
    <format dxfId="47">
      <pivotArea dataOnly="0" grandCol="1" outline="0" axis="axisCol" fieldPosition="0"/>
    </format>
    <format dxfId="46">
      <pivotArea outline="0" collapsedLevelsAreSubtotals="1" fieldPosition="0">
        <references count="1">
          <reference field="14" count="0" selected="0"/>
        </references>
      </pivotArea>
    </format>
    <format dxfId="45">
      <pivotArea field="14" type="button" dataOnly="0" labelOnly="1" outline="0" axis="axisCol" fieldPosition="0"/>
    </format>
    <format dxfId="44">
      <pivotArea type="topRight" dataOnly="0" labelOnly="1" outline="0" fieldPosition="0"/>
    </format>
    <format dxfId="43">
      <pivotArea dataOnly="0" labelOnly="1" fieldPosition="0">
        <references count="1">
          <reference field="14" count="0"/>
        </references>
      </pivotArea>
    </format>
    <format dxfId="42">
      <pivotArea grandCol="1" outline="0" collapsedLevelsAreSubtotals="1" fieldPosition="0"/>
    </format>
    <format dxfId="41">
      <pivotArea grandCol="1" outline="0" collapsedLevelsAreSubtotals="1" fieldPosition="0"/>
    </format>
    <format dxfId="4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79DCBD7-BCD6-463A-B04A-30B9962757E2}" name="PivotTable3"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A67:AL121" firstHeaderRow="1" firstDataRow="2" firstDataCol="1" rowPageCount="1" colPageCount="1"/>
  <pivotFields count="18">
    <pivotField axis="axisRow" showAll="0">
      <items count="53">
        <item x="0"/>
        <item x="1"/>
        <item x="2"/>
        <item x="3"/>
        <item x="6"/>
        <item x="7"/>
        <item x="8"/>
        <item x="9"/>
        <item x="10"/>
        <item x="11"/>
        <item x="12"/>
        <item x="13"/>
        <item x="14"/>
        <item x="15"/>
        <item x="16"/>
        <item x="17"/>
        <item x="18"/>
        <item x="19"/>
        <item x="20"/>
        <item x="21"/>
        <item x="22"/>
        <item x="23"/>
        <item x="24"/>
        <item x="25"/>
        <item x="26"/>
        <item x="28"/>
        <item x="29"/>
        <item x="30"/>
        <item x="31"/>
        <item x="32"/>
        <item x="33"/>
        <item x="35"/>
        <item x="36"/>
        <item x="38"/>
        <item x="39"/>
        <item x="40"/>
        <item x="41"/>
        <item x="42"/>
        <item x="43"/>
        <item x="44"/>
        <item x="45"/>
        <item x="46"/>
        <item x="47"/>
        <item x="48"/>
        <item x="49"/>
        <item x="50"/>
        <item x="27"/>
        <item x="34"/>
        <item x="51"/>
        <item x="4"/>
        <item x="5"/>
        <item x="37"/>
        <item t="default"/>
      </items>
    </pivotField>
    <pivotField showAll="0"/>
    <pivotField numFmtId="1" showAll="0"/>
    <pivotField showAll="0"/>
    <pivotField showAll="0"/>
    <pivotField showAll="0"/>
    <pivotField showAll="0"/>
    <pivotField showAll="0"/>
    <pivotField axis="axisPage" showAll="0">
      <items count="9">
        <item x="0"/>
        <item x="1"/>
        <item x="2"/>
        <item m="1" x="7"/>
        <item x="3"/>
        <item x="4"/>
        <item x="5"/>
        <item x="6"/>
        <item t="default"/>
      </items>
    </pivotField>
    <pivotField showAll="0"/>
    <pivotField showAll="0"/>
    <pivotField numFmtId="167" showAll="0"/>
    <pivotField showAll="0"/>
    <pivotField axis="axisCol" showAll="0">
      <items count="11">
        <item x="6"/>
        <item x="3"/>
        <item x="9"/>
        <item x="8"/>
        <item x="5"/>
        <item x="2"/>
        <item x="0"/>
        <item x="7"/>
        <item x="1"/>
        <item x="4"/>
        <item t="default"/>
      </items>
    </pivotField>
    <pivotField showAll="0"/>
    <pivotField showAll="0"/>
    <pivotField showAll="0"/>
    <pivotField dataField="1" showAll="0"/>
  </pivotFields>
  <rowFields count="1">
    <field x="0"/>
  </rowFields>
  <rowItems count="5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t="grand">
      <x/>
    </i>
  </rowItems>
  <colFields count="1">
    <field x="13"/>
  </colFields>
  <colItems count="11">
    <i>
      <x/>
    </i>
    <i>
      <x v="1"/>
    </i>
    <i>
      <x v="2"/>
    </i>
    <i>
      <x v="3"/>
    </i>
    <i>
      <x v="4"/>
    </i>
    <i>
      <x v="5"/>
    </i>
    <i>
      <x v="6"/>
    </i>
    <i>
      <x v="7"/>
    </i>
    <i>
      <x v="8"/>
    </i>
    <i>
      <x v="9"/>
    </i>
    <i t="grand">
      <x/>
    </i>
  </colItems>
  <pageFields count="1">
    <pageField fld="8" item="0" hier="-1"/>
  </pageFields>
  <dataFields count="1">
    <dataField name="Sum of FTE Autumn" fld="17" baseField="0" baseItem="0"/>
  </dataFields>
  <formats count="12">
    <format dxfId="63">
      <pivotArea grandCol="1" outline="0" collapsedLevelsAreSubtotals="1" fieldPosition="0"/>
    </format>
    <format dxfId="62">
      <pivotArea outline="0" collapsedLevelsAreSubtotals="1" fieldPosition="0"/>
    </format>
    <format dxfId="61">
      <pivotArea field="13" type="button" dataOnly="0" labelOnly="1" outline="0" axis="axisCol" fieldPosition="0"/>
    </format>
    <format dxfId="60">
      <pivotArea type="topRight" dataOnly="0" labelOnly="1" outline="0" fieldPosition="0"/>
    </format>
    <format dxfId="59">
      <pivotArea dataOnly="0" labelOnly="1" fieldPosition="0">
        <references count="1">
          <reference field="13" count="0"/>
        </references>
      </pivotArea>
    </format>
    <format dxfId="58">
      <pivotArea dataOnly="0" labelOnly="1" grandCol="1" outline="0" fieldPosition="0"/>
    </format>
    <format dxfId="57">
      <pivotArea outline="0" collapsedLevelsAreSubtotals="1" fieldPosition="0"/>
    </format>
    <format dxfId="56">
      <pivotArea field="13" type="button" dataOnly="0" labelOnly="1" outline="0" axis="axisCol" fieldPosition="0"/>
    </format>
    <format dxfId="55">
      <pivotArea type="topRight" dataOnly="0" labelOnly="1" outline="0" fieldPosition="0"/>
    </format>
    <format dxfId="54">
      <pivotArea dataOnly="0" labelOnly="1" fieldPosition="0">
        <references count="1">
          <reference field="13" count="0"/>
        </references>
      </pivotArea>
    </format>
    <format dxfId="53">
      <pivotArea dataOnly="0" labelOnly="1" grandCol="1" outline="0" fieldPosition="0"/>
    </format>
    <format dxfId="52">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4" dT="2026-01-19T14:32:43.50" personId="{1701D80D-8F0D-43E9-8848-5D96B14BE73F}" id="{721513BC-C3B3-4C89-8977-3BE8D22734FA}" done="1">
    <text>@Smith, Adam (Corporate Resources, Finance) are we re-naming this following their merger with the infants? They’re now Pennington Church of England Primary School</text>
    <mentions>
      <mention mentionpersonId="{4BB0A664-4384-48DB-BDB2-9C9657985CC6}" mentionId="{4A53EFB6-C297-41AB-8A28-E4AB3FF05556}" startIndex="0" length="43"/>
    </mentions>
  </threadedComment>
  <threadedComment ref="B44" dT="2026-01-19T14:50:52.30" personId="{7050B94A-BC7D-4311-9CBB-65FEC0B4230A}" id="{E5345CA7-899E-448A-9A65-383D0ADD2245}" parentId="{721513BC-C3B3-4C89-8977-3BE8D22734FA}">
    <text>Yes please</text>
  </threadedComment>
</ThreadedComments>
</file>

<file path=xl/threadedComments/threadedComment2.xml><?xml version="1.0" encoding="utf-8"?>
<ThreadedComments xmlns="http://schemas.microsoft.com/office/spreadsheetml/2018/threadedcomments" xmlns:x="http://schemas.openxmlformats.org/spreadsheetml/2006/main">
  <threadedComment ref="N600" dT="2023-05-15T14:52:18.14" personId="{1701D80D-8F0D-43E9-8848-5D96B14BE73F}" id="{D29C3A87-D425-4E2F-AED7-4F98D9551319}">
    <text>@Poole, Janine, please can you check this - we wouldn't expect this need type for Ashley Junior's RP (it should either be MLD or SLCN)</text>
    <mentions>
      <mention mentionpersonId="{CA0FF0D3-8D59-4778-AB1F-167896C937F7}" mentionId="{C598A613-AE42-4DD4-8E51-13BF5227C1BD}" startIndex="0" length="14"/>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pivotTable" Target="../pivotTables/pivotTable3.xml"/><Relationship Id="rId7" Type="http://schemas.openxmlformats.org/officeDocument/2006/relationships/comments" Target="../comments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vmlDrawing" Target="../drawings/vmlDrawing3.vml"/><Relationship Id="rId5" Type="http://schemas.openxmlformats.org/officeDocument/2006/relationships/printerSettings" Target="../printerSettings/printerSettings10.bin"/><Relationship Id="rId4"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1" Type="http://schemas.openxmlformats.org/officeDocument/2006/relationships/hyperlink" Target="https://hants.sharepoint.com/:x:/r/sites/ChildrensOperationalFinance-EducationFundingTeam-confidential/Shared%20Documents/Education%20Funding%20Team%20-%20confidential/2023-24%20-%20Sch%20Fund%20-%20Budget%20Shares%20-%20Resourced%20Provisions%20WORKING.xlsx?d=wf72fea66e3724d3592662ec92d5db027&amp;csf=1&amp;web=1&amp;e=h7xzyl" TargetMode="Externa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hyperlink" Target="https://hants.sharepoint.com/sites/DAIT/DR/Shared%20Documents/Education%20&amp;%20Inclusion/School%20Improvement/School%20Population/Numbers%20on%20Roll/HCC%20-%20NOR%20-%20Autumn%20Term%202025%20-%20Final%20Data%20-%202.%20Pupil%20Characteristics.xlsx?web=1" TargetMode="External"/><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47"/>
  <sheetViews>
    <sheetView workbookViewId="0"/>
  </sheetViews>
  <sheetFormatPr defaultColWidth="9.140625" defaultRowHeight="15"/>
  <cols>
    <col min="1" max="1" width="9.140625" style="4"/>
    <col min="2" max="2" width="47.42578125" style="4" bestFit="1" customWidth="1"/>
    <col min="3" max="3" width="10.42578125" style="4" customWidth="1"/>
    <col min="4" max="16384" width="9.140625" style="4"/>
  </cols>
  <sheetData>
    <row r="1" spans="1:2">
      <c r="A1" s="5">
        <v>8502005</v>
      </c>
      <c r="B1" s="5" t="s">
        <v>0</v>
      </c>
    </row>
    <row r="2" spans="1:2">
      <c r="A2" s="5">
        <v>8502011</v>
      </c>
      <c r="B2" s="5" t="s">
        <v>1</v>
      </c>
    </row>
    <row r="3" spans="1:2">
      <c r="A3" s="5">
        <v>8502013</v>
      </c>
      <c r="B3" s="5" t="s">
        <v>2</v>
      </c>
    </row>
    <row r="4" spans="1:2">
      <c r="A4" s="5">
        <v>8502018</v>
      </c>
      <c r="B4" s="5" t="s">
        <v>3</v>
      </c>
    </row>
    <row r="5" spans="1:2">
      <c r="A5" s="5">
        <v>8502024</v>
      </c>
      <c r="B5" s="5" t="s">
        <v>4</v>
      </c>
    </row>
    <row r="6" spans="1:2">
      <c r="A6" s="5">
        <v>8502057</v>
      </c>
      <c r="B6" s="5" t="s">
        <v>5</v>
      </c>
    </row>
    <row r="7" spans="1:2">
      <c r="A7" s="5">
        <v>8502062</v>
      </c>
      <c r="B7" s="5" t="s">
        <v>6</v>
      </c>
    </row>
    <row r="8" spans="1:2">
      <c r="A8" s="5">
        <v>8502067</v>
      </c>
      <c r="B8" s="5" t="s">
        <v>7</v>
      </c>
    </row>
    <row r="9" spans="1:2">
      <c r="A9" s="5">
        <v>8502103</v>
      </c>
      <c r="B9" s="5" t="s">
        <v>8</v>
      </c>
    </row>
    <row r="10" spans="1:2">
      <c r="A10" s="5">
        <v>8502111</v>
      </c>
      <c r="B10" s="5" t="s">
        <v>9</v>
      </c>
    </row>
    <row r="11" spans="1:2">
      <c r="A11" s="5">
        <v>8502291</v>
      </c>
      <c r="B11" s="5" t="s">
        <v>10</v>
      </c>
    </row>
    <row r="12" spans="1:2">
      <c r="A12" s="5">
        <v>8502127</v>
      </c>
      <c r="B12" s="5" t="s">
        <v>11</v>
      </c>
    </row>
    <row r="13" spans="1:2">
      <c r="A13" s="5">
        <v>8502220</v>
      </c>
      <c r="B13" s="5" t="s">
        <v>12</v>
      </c>
    </row>
    <row r="14" spans="1:2">
      <c r="A14" s="5">
        <v>8502228</v>
      </c>
      <c r="B14" s="5" t="s">
        <v>13</v>
      </c>
    </row>
    <row r="15" spans="1:2">
      <c r="A15" s="5">
        <v>8502237</v>
      </c>
      <c r="B15" s="5" t="s">
        <v>14</v>
      </c>
    </row>
    <row r="16" spans="1:2">
      <c r="A16" s="5">
        <v>8502347</v>
      </c>
      <c r="B16" s="5" t="s">
        <v>15</v>
      </c>
    </row>
    <row r="17" spans="1:2">
      <c r="A17" s="5">
        <v>8502377</v>
      </c>
      <c r="B17" s="5" t="s">
        <v>16</v>
      </c>
    </row>
    <row r="18" spans="1:2">
      <c r="A18" s="5">
        <v>8502520</v>
      </c>
      <c r="B18" s="5" t="s">
        <v>17</v>
      </c>
    </row>
    <row r="19" spans="1:2">
      <c r="A19" s="5">
        <v>8502531</v>
      </c>
      <c r="B19" s="5" t="s">
        <v>18</v>
      </c>
    </row>
    <row r="20" spans="1:2">
      <c r="A20" s="5">
        <v>8502533</v>
      </c>
      <c r="B20" s="5" t="s">
        <v>19</v>
      </c>
    </row>
    <row r="21" spans="1:2">
      <c r="A21" s="5">
        <v>8502534</v>
      </c>
      <c r="B21" s="5" t="s">
        <v>20</v>
      </c>
    </row>
    <row r="22" spans="1:2">
      <c r="A22" s="5">
        <v>8502732</v>
      </c>
      <c r="B22" s="5" t="s">
        <v>21</v>
      </c>
    </row>
    <row r="23" spans="1:2">
      <c r="A23" s="5">
        <v>8502774</v>
      </c>
      <c r="B23" s="5" t="s">
        <v>22</v>
      </c>
    </row>
    <row r="24" spans="1:2">
      <c r="A24" s="5">
        <v>8502776</v>
      </c>
      <c r="B24" s="5" t="s">
        <v>23</v>
      </c>
    </row>
    <row r="25" spans="1:2">
      <c r="A25" s="5">
        <v>8502777</v>
      </c>
      <c r="B25" s="5" t="s">
        <v>24</v>
      </c>
    </row>
    <row r="26" spans="1:2">
      <c r="A26" s="5">
        <v>8503101</v>
      </c>
      <c r="B26" s="5" t="s">
        <v>25</v>
      </c>
    </row>
    <row r="27" spans="1:2">
      <c r="A27" s="5">
        <v>8503665</v>
      </c>
      <c r="B27" s="5" t="s">
        <v>26</v>
      </c>
    </row>
    <row r="28" spans="1:2">
      <c r="A28" s="5">
        <v>8504000</v>
      </c>
      <c r="B28" s="5" t="s">
        <v>27</v>
      </c>
    </row>
    <row r="29" spans="1:2">
      <c r="A29" s="5">
        <v>8504007</v>
      </c>
      <c r="B29" s="5" t="s">
        <v>28</v>
      </c>
    </row>
    <row r="30" spans="1:2">
      <c r="A30" s="5">
        <v>8504110</v>
      </c>
      <c r="B30" s="5" t="s">
        <v>29</v>
      </c>
    </row>
    <row r="31" spans="1:2">
      <c r="A31" s="5">
        <v>8504113</v>
      </c>
      <c r="B31" s="5" t="s">
        <v>30</v>
      </c>
    </row>
    <row r="32" spans="1:2">
      <c r="A32" s="5">
        <v>8504128</v>
      </c>
      <c r="B32" s="5" t="s">
        <v>31</v>
      </c>
    </row>
    <row r="33" spans="1:2">
      <c r="A33" s="5">
        <v>8504133</v>
      </c>
      <c r="B33" s="5" t="s">
        <v>32</v>
      </c>
    </row>
    <row r="34" spans="1:2">
      <c r="A34" s="5">
        <v>8504143</v>
      </c>
      <c r="B34" s="5" t="s">
        <v>33</v>
      </c>
    </row>
    <row r="35" spans="1:2">
      <c r="A35" s="5">
        <v>8504173</v>
      </c>
      <c r="B35" s="5" t="s">
        <v>34</v>
      </c>
    </row>
    <row r="36" spans="1:2">
      <c r="A36" s="5">
        <v>8504174</v>
      </c>
      <c r="B36" s="5" t="s">
        <v>35</v>
      </c>
    </row>
    <row r="37" spans="1:2">
      <c r="A37" s="5">
        <v>8504180</v>
      </c>
      <c r="B37" s="5" t="s">
        <v>36</v>
      </c>
    </row>
    <row r="38" spans="1:2">
      <c r="A38" s="5">
        <v>8504164</v>
      </c>
      <c r="B38" s="5" t="s">
        <v>37</v>
      </c>
    </row>
    <row r="39" spans="1:2">
      <c r="A39" s="5">
        <v>8504191</v>
      </c>
      <c r="B39" s="5" t="s">
        <v>38</v>
      </c>
    </row>
    <row r="40" spans="1:2">
      <c r="A40" s="5">
        <v>8504203</v>
      </c>
      <c r="B40" s="5" t="s">
        <v>39</v>
      </c>
    </row>
    <row r="41" spans="1:2">
      <c r="A41" s="5">
        <v>8504206</v>
      </c>
      <c r="B41" s="5" t="s">
        <v>40</v>
      </c>
    </row>
    <row r="42" spans="1:2">
      <c r="A42" s="5">
        <v>8504308</v>
      </c>
      <c r="B42" s="5" t="s">
        <v>41</v>
      </c>
    </row>
    <row r="43" spans="1:2">
      <c r="A43" s="5">
        <v>8504310</v>
      </c>
      <c r="B43" s="5" t="s">
        <v>42</v>
      </c>
    </row>
    <row r="44" spans="1:2">
      <c r="A44" s="5">
        <v>8504511</v>
      </c>
      <c r="B44" s="5" t="s">
        <v>43</v>
      </c>
    </row>
    <row r="45" spans="1:2">
      <c r="A45" s="5">
        <v>8505208</v>
      </c>
      <c r="B45" s="5" t="s">
        <v>44</v>
      </c>
    </row>
    <row r="46" spans="1:2">
      <c r="A46" s="5">
        <v>8505405</v>
      </c>
      <c r="B46" s="5" t="s">
        <v>45</v>
      </c>
    </row>
    <row r="47" spans="1:2">
      <c r="A47" s="5">
        <v>8505412</v>
      </c>
      <c r="B47" s="5" t="s">
        <v>46</v>
      </c>
    </row>
  </sheetData>
  <sheetProtection selectLockedCells="1"/>
  <sortState xmlns:xlrd2="http://schemas.microsoft.com/office/spreadsheetml/2017/richdata2" ref="A1:B47">
    <sortCondition ref="A1:A47"/>
  </sortState>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63E7A-0E9C-4AD2-94A8-1845B07BF606}">
  <sheetPr codeName="Sheet10" filterMode="1">
    <tabColor theme="6" tint="0.59999389629810485"/>
  </sheetPr>
  <dimension ref="A1:AV742"/>
  <sheetViews>
    <sheetView topLeftCell="B1" workbookViewId="0">
      <selection activeCell="E53" sqref="E53"/>
    </sheetView>
  </sheetViews>
  <sheetFormatPr defaultColWidth="9.140625" defaultRowHeight="15"/>
  <cols>
    <col min="1" max="2" width="11.5703125" customWidth="1"/>
    <col min="6" max="6" width="13" bestFit="1" customWidth="1"/>
    <col min="7" max="8" width="10.5703125" customWidth="1"/>
    <col min="9" max="9" width="11.5703125" bestFit="1" customWidth="1"/>
    <col min="12" max="12" width="16.5703125" style="8" bestFit="1" customWidth="1"/>
    <col min="13" max="13" width="13.42578125" bestFit="1" customWidth="1"/>
    <col min="14" max="14" width="11.5703125" customWidth="1"/>
    <col min="15" max="15" width="11.5703125" style="17" bestFit="1" customWidth="1"/>
    <col min="16" max="16" width="12.42578125" style="17" customWidth="1"/>
    <col min="17" max="17" width="12.42578125" customWidth="1"/>
    <col min="18" max="18" width="15.42578125" style="22" bestFit="1" customWidth="1"/>
    <col min="19" max="19" width="5.5703125" customWidth="1"/>
    <col min="20" max="20" width="3.42578125" customWidth="1"/>
    <col min="21" max="21" width="18.42578125" bestFit="1" customWidth="1"/>
    <col min="22" max="22" width="16.42578125" style="10" bestFit="1" customWidth="1"/>
    <col min="23" max="23" width="4.5703125" style="10" bestFit="1" customWidth="1"/>
    <col min="24" max="24" width="11.42578125" style="16" bestFit="1" customWidth="1"/>
    <col min="25" max="25" width="4.42578125" customWidth="1"/>
    <col min="26" max="26" width="15" customWidth="1"/>
    <col min="27" max="27" width="18.42578125" bestFit="1" customWidth="1"/>
    <col min="28" max="28" width="18.5703125" style="16" bestFit="1" customWidth="1"/>
    <col min="29" max="29" width="5.5703125" style="16" bestFit="1" customWidth="1"/>
    <col min="30" max="30" width="5.85546875" style="16" bestFit="1" customWidth="1"/>
    <col min="31" max="31" width="6" style="16" bestFit="1" customWidth="1"/>
    <col min="32" max="32" width="6.140625" style="16" bestFit="1" customWidth="1"/>
    <col min="33" max="33" width="6.5703125" style="16" bestFit="1" customWidth="1"/>
    <col min="34" max="36" width="5.5703125" style="16" bestFit="1" customWidth="1"/>
    <col min="37" max="37" width="6.5703125" style="16" bestFit="1" customWidth="1"/>
    <col min="38" max="39" width="11.42578125" style="16" bestFit="1" customWidth="1"/>
    <col min="40" max="41" width="15" style="16" customWidth="1"/>
    <col min="42" max="42" width="11.140625" style="16" customWidth="1"/>
    <col min="43" max="43" width="11.140625" customWidth="1"/>
    <col min="44" max="44" width="12" customWidth="1"/>
    <col min="45" max="45" width="6.5703125" customWidth="1"/>
    <col min="46" max="46" width="9.5703125" bestFit="1" customWidth="1"/>
    <col min="47" max="47" width="7.5703125" bestFit="1" customWidth="1"/>
    <col min="48" max="48" width="9.5703125" bestFit="1" customWidth="1"/>
    <col min="49" max="49" width="6" customWidth="1"/>
  </cols>
  <sheetData>
    <row r="1" spans="1:48">
      <c r="AB1" s="143" t="str">
        <f>MFG!G7</f>
        <v>ASC</v>
      </c>
      <c r="AC1" s="143" t="str">
        <f>MFG!H7</f>
        <v>HI</v>
      </c>
      <c r="AD1" s="143" t="str">
        <f>MFG!I7</f>
        <v>MLD</v>
      </c>
      <c r="AE1" s="449" t="str">
        <f>MFG!J7</f>
        <v>NA</v>
      </c>
      <c r="AF1" s="143" t="str">
        <f>MFG!K7</f>
        <v>PD - L</v>
      </c>
      <c r="AG1" s="143" t="str">
        <f>MFG!L7</f>
        <v>PD - S</v>
      </c>
      <c r="AH1" s="143" t="str">
        <f>MFG!M7</f>
        <v>SEMH</v>
      </c>
      <c r="AI1" s="143" t="str">
        <f>MFG!N7</f>
        <v>SLCN</v>
      </c>
      <c r="AJ1" s="143" t="str">
        <f>MFG!O7</f>
        <v>SLD</v>
      </c>
      <c r="AK1" s="143" t="str">
        <f>MFG!P7</f>
        <v>SpLD</v>
      </c>
      <c r="AL1" s="143" t="str">
        <f>MFG!Q7</f>
        <v>VI</v>
      </c>
    </row>
    <row r="2" spans="1:48" ht="15.75" thickBot="1">
      <c r="A2" t="s">
        <v>371</v>
      </c>
      <c r="D2" s="23"/>
      <c r="G2" s="8"/>
      <c r="H2" s="8"/>
      <c r="L2"/>
      <c r="O2"/>
      <c r="P2"/>
      <c r="R2" s="23"/>
      <c r="AB2" s="16" t="s">
        <v>351</v>
      </c>
      <c r="AC2" s="16" t="s">
        <v>215</v>
      </c>
      <c r="AD2" s="16" t="s">
        <v>143</v>
      </c>
      <c r="AE2" s="450" t="s">
        <v>337</v>
      </c>
      <c r="AF2" s="16" t="s">
        <v>221</v>
      </c>
      <c r="AG2" s="16" t="s">
        <v>220</v>
      </c>
      <c r="AH2" s="16" t="s">
        <v>130</v>
      </c>
      <c r="AI2" s="16" t="s">
        <v>142</v>
      </c>
      <c r="AJ2" s="16" t="s">
        <v>213</v>
      </c>
      <c r="AK2" s="16" t="s">
        <v>218</v>
      </c>
      <c r="AL2" s="16" t="s">
        <v>214</v>
      </c>
      <c r="AP2">
        <v>16</v>
      </c>
      <c r="AQ2">
        <v>17</v>
      </c>
      <c r="AR2">
        <v>18</v>
      </c>
      <c r="AS2">
        <v>19</v>
      </c>
      <c r="AT2">
        <v>20</v>
      </c>
    </row>
    <row r="3" spans="1:48" ht="62.45" customHeight="1" thickBot="1">
      <c r="A3" s="590" t="s">
        <v>372</v>
      </c>
      <c r="B3" s="590" t="s">
        <v>373</v>
      </c>
      <c r="C3" s="591" t="s">
        <v>374</v>
      </c>
      <c r="D3" s="592" t="s">
        <v>375</v>
      </c>
      <c r="E3" s="592" t="s">
        <v>376</v>
      </c>
      <c r="F3" s="593" t="s">
        <v>377</v>
      </c>
      <c r="G3" s="591" t="s">
        <v>378</v>
      </c>
      <c r="H3" s="591" t="s">
        <v>379</v>
      </c>
      <c r="I3" s="591" t="s">
        <v>380</v>
      </c>
      <c r="J3" s="592" t="s">
        <v>381</v>
      </c>
      <c r="K3" s="594" t="s">
        <v>382</v>
      </c>
      <c r="L3" s="593" t="s">
        <v>383</v>
      </c>
      <c r="M3" s="593" t="s">
        <v>384</v>
      </c>
      <c r="N3" s="595" t="s">
        <v>385</v>
      </c>
      <c r="O3" s="192" t="s">
        <v>386</v>
      </c>
      <c r="P3" s="196" t="s">
        <v>387</v>
      </c>
      <c r="Q3" s="196" t="s">
        <v>388</v>
      </c>
      <c r="R3" s="197" t="s">
        <v>389</v>
      </c>
      <c r="U3" s="645" t="s">
        <v>386</v>
      </c>
      <c r="V3" s="646"/>
      <c r="W3" s="646"/>
      <c r="X3" s="647"/>
      <c r="AA3" s="648" t="s">
        <v>74</v>
      </c>
      <c r="AB3" s="649"/>
      <c r="AC3" s="649"/>
      <c r="AD3" s="649"/>
      <c r="AE3" s="649"/>
      <c r="AF3" s="649"/>
      <c r="AG3" s="649"/>
      <c r="AH3" s="649"/>
      <c r="AI3" s="649"/>
      <c r="AJ3" s="649"/>
      <c r="AK3" s="649"/>
      <c r="AL3" s="649"/>
      <c r="AM3" s="649"/>
      <c r="AN3" s="649"/>
      <c r="AO3" s="650"/>
      <c r="AP3" s="80"/>
    </row>
    <row r="4" spans="1:48">
      <c r="A4" s="282">
        <v>2005</v>
      </c>
      <c r="B4" s="194"/>
      <c r="C4" s="282"/>
      <c r="D4" s="282"/>
      <c r="E4" s="282"/>
      <c r="F4" s="283"/>
      <c r="G4" s="282">
        <v>0</v>
      </c>
      <c r="H4" s="282">
        <v>1</v>
      </c>
      <c r="I4" s="282">
        <v>850</v>
      </c>
      <c r="J4" s="282" t="s">
        <v>390</v>
      </c>
      <c r="K4" s="282" t="s">
        <v>391</v>
      </c>
      <c r="L4" s="283">
        <v>45536</v>
      </c>
      <c r="M4" s="281"/>
      <c r="N4" s="287" t="s">
        <v>213</v>
      </c>
      <c r="O4" s="466">
        <v>0</v>
      </c>
      <c r="P4" s="285">
        <v>45901</v>
      </c>
      <c r="Q4" s="285">
        <v>46022</v>
      </c>
      <c r="R4" s="288">
        <v>1</v>
      </c>
      <c r="U4" s="8" t="s">
        <v>392</v>
      </c>
      <c r="V4" s="10" t="s">
        <v>393</v>
      </c>
      <c r="W4" s="16"/>
      <c r="Z4" s="16"/>
      <c r="AA4" t="s">
        <v>392</v>
      </c>
      <c r="AB4" s="16" t="s">
        <v>393</v>
      </c>
      <c r="AM4"/>
      <c r="AN4"/>
      <c r="AO4"/>
      <c r="AP4"/>
    </row>
    <row r="5" spans="1:48" ht="45">
      <c r="A5" s="282">
        <v>2005</v>
      </c>
      <c r="B5" s="194"/>
      <c r="C5" s="282"/>
      <c r="D5" s="282"/>
      <c r="E5" s="282"/>
      <c r="F5" s="283"/>
      <c r="G5" s="282">
        <v>0</v>
      </c>
      <c r="H5" s="282">
        <v>1</v>
      </c>
      <c r="I5" s="282">
        <v>850</v>
      </c>
      <c r="J5" s="282" t="s">
        <v>390</v>
      </c>
      <c r="K5" s="282" t="s">
        <v>391</v>
      </c>
      <c r="L5" s="283">
        <v>45901</v>
      </c>
      <c r="M5" s="281"/>
      <c r="N5" s="287" t="s">
        <v>213</v>
      </c>
      <c r="O5" s="466">
        <v>0</v>
      </c>
      <c r="P5" s="285">
        <v>45901</v>
      </c>
      <c r="Q5" s="285">
        <v>46022</v>
      </c>
      <c r="R5" s="288">
        <v>1</v>
      </c>
      <c r="U5" t="s">
        <v>394</v>
      </c>
      <c r="V5" s="16" t="s">
        <v>215</v>
      </c>
      <c r="W5" s="16" t="s">
        <v>214</v>
      </c>
      <c r="X5" s="18" t="s">
        <v>330</v>
      </c>
      <c r="Z5" s="18"/>
      <c r="AA5" t="s">
        <v>394</v>
      </c>
      <c r="AB5" s="16" t="s">
        <v>215</v>
      </c>
      <c r="AC5" s="16" t="s">
        <v>143</v>
      </c>
      <c r="AD5" s="16" t="s">
        <v>221</v>
      </c>
      <c r="AE5" s="16" t="s">
        <v>220</v>
      </c>
      <c r="AF5" s="16" t="s">
        <v>130</v>
      </c>
      <c r="AG5" s="16" t="s">
        <v>142</v>
      </c>
      <c r="AH5" s="16" t="s">
        <v>213</v>
      </c>
      <c r="AI5" s="16" t="s">
        <v>218</v>
      </c>
      <c r="AJ5" s="16" t="s">
        <v>214</v>
      </c>
      <c r="AK5" s="16" t="s">
        <v>141</v>
      </c>
      <c r="AL5" s="16" t="s">
        <v>330</v>
      </c>
      <c r="AM5"/>
      <c r="AN5"/>
      <c r="AO5" s="16" t="s">
        <v>395</v>
      </c>
      <c r="AP5" s="198" t="s">
        <v>198</v>
      </c>
      <c r="AQ5">
        <v>1</v>
      </c>
      <c r="AR5" s="198" t="s">
        <v>396</v>
      </c>
      <c r="AS5">
        <v>2</v>
      </c>
      <c r="AT5" s="198" t="s">
        <v>397</v>
      </c>
      <c r="AU5">
        <v>3</v>
      </c>
      <c r="AV5" t="s">
        <v>398</v>
      </c>
    </row>
    <row r="6" spans="1:48">
      <c r="A6" s="282">
        <v>2005</v>
      </c>
      <c r="B6" s="194"/>
      <c r="C6" s="282"/>
      <c r="D6" s="282"/>
      <c r="E6" s="282"/>
      <c r="F6" s="283"/>
      <c r="G6" s="282">
        <v>-1</v>
      </c>
      <c r="H6" s="282">
        <v>0</v>
      </c>
      <c r="I6" s="282">
        <v>850</v>
      </c>
      <c r="J6" s="282" t="s">
        <v>390</v>
      </c>
      <c r="K6" s="282" t="s">
        <v>391</v>
      </c>
      <c r="L6" s="283">
        <v>45901</v>
      </c>
      <c r="M6" s="284"/>
      <c r="N6" s="287" t="s">
        <v>213</v>
      </c>
      <c r="O6" s="466">
        <v>0</v>
      </c>
      <c r="P6" s="285">
        <v>45901</v>
      </c>
      <c r="Q6" s="285">
        <v>46022</v>
      </c>
      <c r="R6" s="288">
        <v>1</v>
      </c>
      <c r="U6" s="15">
        <v>2347</v>
      </c>
      <c r="V6" s="16"/>
      <c r="W6" s="16">
        <v>6</v>
      </c>
      <c r="X6" s="478">
        <v>6</v>
      </c>
      <c r="Z6" s="19"/>
      <c r="AA6" s="15">
        <v>2005</v>
      </c>
      <c r="AH6" s="16">
        <v>32</v>
      </c>
      <c r="AL6" s="478">
        <v>32</v>
      </c>
      <c r="AM6"/>
      <c r="AN6"/>
      <c r="AO6">
        <f>COUNTIFS(AB6:AK6,"&lt;&gt;0",AB6:AK6,"&lt;&gt;")</f>
        <v>1</v>
      </c>
      <c r="AP6" t="str" cm="1">
        <f t="array" ref="AP6">INDEX($AB$5:$AK$5,1,_xlfn.XMATCH(LARGE($AB6:$AK6,AQ$5),$AB6:$AK6))</f>
        <v>SLD</v>
      </c>
      <c r="AQ6" s="10" cm="1">
        <f t="array" ref="AQ6">INDEX($AB6:$AK6,1,_xlfn.XMATCH(AP6,$AB$5:$AK$5))</f>
        <v>32</v>
      </c>
      <c r="AR6" t="str" cm="1">
        <f t="array" ref="AR6">IF($AO6&gt;=AS$5,INDEX($AB$5:$AK$5,1,_xlfn.XMATCH(LARGE($AB6:$AK6,AS$5),$AB6:$AK6)),"")</f>
        <v/>
      </c>
      <c r="AS6" s="10" cm="1">
        <f t="array" ref="AS6">IF($AO6&gt;=AS$5,INDEX($AB6:$AK6,1,_xlfn.XMATCH(AR6,$AB$5:$AK$5)),0)</f>
        <v>0</v>
      </c>
      <c r="AT6" t="str" cm="1">
        <f t="array" ref="AT6">IF($AO6&gt;=AU$5,INDEX($AB$5:$AK$5,1,_xlfn.XMATCH(LARGE($AB6:$AK6,AU$5),$AB6:$AK6)),"")</f>
        <v/>
      </c>
      <c r="AU6" s="10" cm="1">
        <f t="array" ref="AU6">IF($AO6&gt;=AU$5,INDEX($AB6:$AK6,1,_xlfn.XMATCH(AT6,$AB$5:$AK$5)),0)</f>
        <v>0</v>
      </c>
      <c r="AV6" s="10">
        <f>AL6-AQ6-IF(AS6="",0,AS6)-IF(AU6="",0,AU6)</f>
        <v>0</v>
      </c>
    </row>
    <row r="7" spans="1:48">
      <c r="A7" s="193">
        <v>2005</v>
      </c>
      <c r="B7" s="194"/>
      <c r="C7" s="193"/>
      <c r="D7" s="193"/>
      <c r="E7" s="193"/>
      <c r="F7" s="283"/>
      <c r="G7" s="193">
        <v>0</v>
      </c>
      <c r="H7" s="282">
        <v>1</v>
      </c>
      <c r="I7" s="193">
        <v>850</v>
      </c>
      <c r="J7" s="193" t="s">
        <v>390</v>
      </c>
      <c r="K7" s="193" t="s">
        <v>391</v>
      </c>
      <c r="L7" s="283">
        <v>45901</v>
      </c>
      <c r="M7" s="281"/>
      <c r="N7" s="195" t="s">
        <v>213</v>
      </c>
      <c r="O7" s="466">
        <v>0</v>
      </c>
      <c r="P7" s="285">
        <v>45901</v>
      </c>
      <c r="Q7" s="285">
        <v>46022</v>
      </c>
      <c r="R7" s="288">
        <v>1</v>
      </c>
      <c r="U7" s="15">
        <v>2520</v>
      </c>
      <c r="V7" s="16">
        <v>3</v>
      </c>
      <c r="W7" s="16"/>
      <c r="X7" s="478">
        <v>3</v>
      </c>
      <c r="Z7" s="19"/>
      <c r="AA7" s="15">
        <v>2011</v>
      </c>
      <c r="AJ7" s="16">
        <v>1</v>
      </c>
      <c r="AL7" s="478">
        <v>1</v>
      </c>
      <c r="AM7"/>
      <c r="AN7"/>
      <c r="AO7">
        <f t="shared" ref="AO7:AO52" si="0">COUNTIFS(AB7:AK7,"&lt;&gt;0",AB7:AK7,"&lt;&gt;")</f>
        <v>1</v>
      </c>
      <c r="AP7" t="str" cm="1">
        <f t="array" ref="AP7">INDEX($AB$5:$AK$5,1,_xlfn.XMATCH(LARGE($AB7:$AK7,AQ$5),$AB7:$AK7))</f>
        <v>VI</v>
      </c>
      <c r="AQ7" s="10" cm="1">
        <f t="array" ref="AQ7">INDEX($AB7:$AK7,1,_xlfn.XMATCH(AP7,$AB$5:$AK$5))</f>
        <v>1</v>
      </c>
      <c r="AR7" t="str" cm="1">
        <f t="array" ref="AR7">IF($AO7&gt;=AS$5,INDEX($AB$5:$AK$5,1,_xlfn.XMATCH(LARGE($AB7:$AK7,AS$5),$AB7:$AK7)),"")</f>
        <v/>
      </c>
      <c r="AS7" s="10" cm="1">
        <f t="array" ref="AS7">IF($AO7&gt;=AS$5,INDEX($AB7:$AK7,1,_xlfn.XMATCH(AR7,$AB$5:$AK$5)),0)</f>
        <v>0</v>
      </c>
      <c r="AT7" t="str" cm="1">
        <f t="array" ref="AT7">IF($AO7&gt;=AU$5,INDEX($AB$5:$AK$5,1,_xlfn.XMATCH(LARGE($AB7:$AK7,AU$5),$AB7:$AK7)),"")</f>
        <v/>
      </c>
      <c r="AU7" s="10" cm="1">
        <f t="array" ref="AU7">IF($AO7&gt;=AU$5,INDEX($AB7:$AK7,1,_xlfn.XMATCH(AT7,$AB$5:$AK$5)),0)</f>
        <v>0</v>
      </c>
      <c r="AV7" s="10">
        <f t="shared" ref="AV7:AV52" si="1">AL7-AQ7-IF(AS7="",0,AS7)-IF(AU7="",0,AU7)</f>
        <v>0</v>
      </c>
    </row>
    <row r="8" spans="1:48">
      <c r="A8" s="193">
        <v>2005</v>
      </c>
      <c r="B8" s="194"/>
      <c r="C8" s="193"/>
      <c r="D8" s="193"/>
      <c r="E8" s="193"/>
      <c r="F8" s="283"/>
      <c r="G8" s="193">
        <v>-1</v>
      </c>
      <c r="H8" s="282">
        <v>0</v>
      </c>
      <c r="I8" s="193">
        <v>850</v>
      </c>
      <c r="J8" s="193" t="s">
        <v>390</v>
      </c>
      <c r="K8" s="193" t="s">
        <v>391</v>
      </c>
      <c r="L8" s="283">
        <v>45901</v>
      </c>
      <c r="M8" s="281"/>
      <c r="N8" s="195" t="s">
        <v>213</v>
      </c>
      <c r="O8" s="466">
        <v>0</v>
      </c>
      <c r="P8" s="285">
        <v>45901</v>
      </c>
      <c r="Q8" s="285">
        <v>46022</v>
      </c>
      <c r="R8" s="288">
        <v>1</v>
      </c>
      <c r="U8" s="15">
        <v>2732</v>
      </c>
      <c r="V8" s="16">
        <v>2</v>
      </c>
      <c r="W8" s="16"/>
      <c r="X8" s="478">
        <v>2</v>
      </c>
      <c r="Z8" s="19"/>
      <c r="AA8" s="15">
        <v>2013</v>
      </c>
      <c r="AC8" s="16">
        <v>3</v>
      </c>
      <c r="AG8" s="16">
        <v>20</v>
      </c>
      <c r="AL8" s="478">
        <v>23</v>
      </c>
      <c r="AM8"/>
      <c r="AN8"/>
      <c r="AO8">
        <f t="shared" si="0"/>
        <v>2</v>
      </c>
      <c r="AP8" t="str" cm="1">
        <f t="array" ref="AP8">INDEX($AB$5:$AK$5,1,_xlfn.XMATCH(LARGE($AB8:$AK8,AQ$5),$AB8:$AK8))</f>
        <v>SLCN</v>
      </c>
      <c r="AQ8" s="10" cm="1">
        <f t="array" ref="AQ8">INDEX($AB8:$AK8,1,_xlfn.XMATCH(AP8,$AB$5:$AK$5))</f>
        <v>20</v>
      </c>
      <c r="AR8" t="str" cm="1">
        <f t="array" ref="AR8">IF($AO8&gt;=AS$5,INDEX($AB$5:$AK$5,1,_xlfn.XMATCH(LARGE($AB8:$AK8,AS$5),$AB8:$AK8)),"")</f>
        <v>MLD</v>
      </c>
      <c r="AS8" s="10" cm="1">
        <f t="array" ref="AS8">IF($AO8&gt;=AS$5,INDEX($AB8:$AK8,1,_xlfn.XMATCH(AR8,$AB$5:$AK$5)),0)</f>
        <v>3</v>
      </c>
      <c r="AT8" t="str" cm="1">
        <f t="array" ref="AT8">IF($AO8&gt;=AU$5,INDEX($AB$5:$AK$5,1,_xlfn.XMATCH(LARGE($AB8:$AK8,AU$5),$AB8:$AK8)),"")</f>
        <v/>
      </c>
      <c r="AU8" s="10" cm="1">
        <f t="array" ref="AU8">IF($AO8&gt;=AU$5,INDEX($AB8:$AK8,1,_xlfn.XMATCH(AT8,$AB$5:$AK$5)),0)</f>
        <v>0</v>
      </c>
      <c r="AV8" s="10">
        <f t="shared" si="1"/>
        <v>0</v>
      </c>
    </row>
    <row r="9" spans="1:48">
      <c r="A9" s="193">
        <v>2005</v>
      </c>
      <c r="B9" s="194"/>
      <c r="C9" s="479"/>
      <c r="D9" s="479"/>
      <c r="E9" s="479"/>
      <c r="F9" s="480"/>
      <c r="G9" s="479">
        <v>2</v>
      </c>
      <c r="H9" s="282">
        <v>3</v>
      </c>
      <c r="I9" s="193">
        <v>850</v>
      </c>
      <c r="J9" s="193" t="s">
        <v>390</v>
      </c>
      <c r="K9" s="193" t="s">
        <v>391</v>
      </c>
      <c r="L9" s="283">
        <v>45170</v>
      </c>
      <c r="M9" s="281">
        <v>45900</v>
      </c>
      <c r="N9" s="195" t="s">
        <v>213</v>
      </c>
      <c r="O9" s="466">
        <v>0</v>
      </c>
      <c r="P9" s="285" t="s">
        <v>399</v>
      </c>
      <c r="Q9" s="285" t="s">
        <v>399</v>
      </c>
      <c r="R9" s="288">
        <v>0</v>
      </c>
      <c r="U9" s="15">
        <v>3101</v>
      </c>
      <c r="V9" s="16">
        <v>8</v>
      </c>
      <c r="W9" s="16"/>
      <c r="X9" s="478">
        <v>8</v>
      </c>
      <c r="Z9" s="19"/>
      <c r="AA9" s="15">
        <v>2018</v>
      </c>
      <c r="AG9" s="16">
        <v>14</v>
      </c>
      <c r="AL9" s="478">
        <v>14</v>
      </c>
      <c r="AM9"/>
      <c r="AN9"/>
      <c r="AO9">
        <f t="shared" si="0"/>
        <v>1</v>
      </c>
      <c r="AP9" t="str" cm="1">
        <f t="array" ref="AP9">INDEX($AB$5:$AK$5,1,_xlfn.XMATCH(LARGE($AB9:$AK9,AQ$5),$AB9:$AK9))</f>
        <v>SLCN</v>
      </c>
      <c r="AQ9" s="10" cm="1">
        <f t="array" ref="AQ9">INDEX($AB9:$AK9,1,_xlfn.XMATCH(AP9,$AB$5:$AK$5))</f>
        <v>14</v>
      </c>
      <c r="AR9" t="str" cm="1">
        <f t="array" ref="AR9">IF($AO9&gt;=AS$5,INDEX($AB$5:$AK$5,1,_xlfn.XMATCH(LARGE($AB9:$AK9,AS$5),$AB9:$AK9)),"")</f>
        <v/>
      </c>
      <c r="AS9" s="10" cm="1">
        <f t="array" ref="AS9">IF($AO9&gt;=AS$5,INDEX($AB9:$AK9,1,_xlfn.XMATCH(AR9,$AB$5:$AK$5)),0)</f>
        <v>0</v>
      </c>
      <c r="AT9" t="str" cm="1">
        <f t="array" ref="AT9">IF($AO9&gt;=AU$5,INDEX($AB$5:$AK$5,1,_xlfn.XMATCH(LARGE($AB9:$AK9,AU$5),$AB9:$AK9)),"")</f>
        <v/>
      </c>
      <c r="AU9" s="10" cm="1">
        <f t="array" ref="AU9">IF($AO9&gt;=AU$5,INDEX($AB9:$AK9,1,_xlfn.XMATCH(AT9,$AB$5:$AK$5)),0)</f>
        <v>0</v>
      </c>
      <c r="AV9" s="10">
        <f t="shared" si="1"/>
        <v>0</v>
      </c>
    </row>
    <row r="10" spans="1:48">
      <c r="A10" s="282">
        <v>2005</v>
      </c>
      <c r="B10" s="194"/>
      <c r="C10" s="282"/>
      <c r="D10" s="282"/>
      <c r="E10" s="282"/>
      <c r="F10" s="283"/>
      <c r="G10" s="282">
        <v>-1</v>
      </c>
      <c r="H10" s="282">
        <v>0</v>
      </c>
      <c r="I10" s="282">
        <v>850</v>
      </c>
      <c r="J10" s="282" t="s">
        <v>390</v>
      </c>
      <c r="K10" s="282" t="s">
        <v>391</v>
      </c>
      <c r="L10" s="286">
        <v>45901</v>
      </c>
      <c r="M10" s="284"/>
      <c r="N10" s="195" t="s">
        <v>213</v>
      </c>
      <c r="O10" s="466">
        <v>0</v>
      </c>
      <c r="P10" s="285">
        <v>45901</v>
      </c>
      <c r="Q10" s="285">
        <v>46022</v>
      </c>
      <c r="R10" s="288">
        <v>1</v>
      </c>
      <c r="U10" s="15">
        <v>4113</v>
      </c>
      <c r="V10" s="16"/>
      <c r="W10" s="16">
        <v>1</v>
      </c>
      <c r="X10" s="478">
        <v>1</v>
      </c>
      <c r="Z10" s="19"/>
      <c r="AA10" s="15">
        <v>2057</v>
      </c>
      <c r="AF10" s="16">
        <v>9</v>
      </c>
      <c r="AK10" s="16">
        <v>18</v>
      </c>
      <c r="AL10" s="478">
        <v>27</v>
      </c>
      <c r="AM10"/>
      <c r="AN10"/>
      <c r="AO10">
        <f t="shared" si="0"/>
        <v>2</v>
      </c>
      <c r="AP10" t="str" cm="1">
        <f t="array" ref="AP10">INDEX($AB$5:$AK$5,1,_xlfn.XMATCH(LARGE($AB10:$AK10,AQ$5),$AB10:$AK10))</f>
        <v>ASC</v>
      </c>
      <c r="AQ10" s="10" cm="1">
        <f t="array" ref="AQ10">INDEX($AB10:$AK10,1,_xlfn.XMATCH(AP10,$AB$5:$AK$5))</f>
        <v>18</v>
      </c>
      <c r="AR10" t="str" cm="1">
        <f t="array" ref="AR10">IF($AO10&gt;=AS$5,INDEX($AB$5:$AK$5,1,_xlfn.XMATCH(LARGE($AB10:$AK10,AS$5),$AB10:$AK10)),"")</f>
        <v>SEMH</v>
      </c>
      <c r="AS10" s="10" cm="1">
        <f t="array" ref="AS10">IF($AO10&gt;=AS$5,INDEX($AB10:$AK10,1,_xlfn.XMATCH(AR10,$AB$5:$AK$5)),0)</f>
        <v>9</v>
      </c>
      <c r="AT10" t="str" cm="1">
        <f t="array" ref="AT10">IF($AO10&gt;=AU$5,INDEX($AB$5:$AK$5,1,_xlfn.XMATCH(LARGE($AB10:$AK10,AU$5),$AB10:$AK10)),"")</f>
        <v/>
      </c>
      <c r="AU10" s="10" cm="1">
        <f t="array" ref="AU10">IF($AO10&gt;=AU$5,INDEX($AB10:$AK10,1,_xlfn.XMATCH(AT10,$AB$5:$AK$5)),0)</f>
        <v>0</v>
      </c>
      <c r="AV10" s="10">
        <f t="shared" si="1"/>
        <v>0</v>
      </c>
    </row>
    <row r="11" spans="1:48">
      <c r="A11" s="282">
        <v>2005</v>
      </c>
      <c r="B11" s="194"/>
      <c r="C11" s="282"/>
      <c r="D11" s="282"/>
      <c r="E11" s="194"/>
      <c r="F11" s="284"/>
      <c r="G11" s="282">
        <v>2</v>
      </c>
      <c r="H11" s="282">
        <v>3</v>
      </c>
      <c r="I11" s="282">
        <v>850</v>
      </c>
      <c r="J11" s="282" t="s">
        <v>390</v>
      </c>
      <c r="K11" s="282" t="s">
        <v>391</v>
      </c>
      <c r="L11" s="286">
        <v>44805</v>
      </c>
      <c r="M11" s="284">
        <v>45900</v>
      </c>
      <c r="N11" s="195" t="s">
        <v>213</v>
      </c>
      <c r="O11" s="466">
        <v>0</v>
      </c>
      <c r="P11" s="285" t="s">
        <v>399</v>
      </c>
      <c r="Q11" s="285" t="s">
        <v>399</v>
      </c>
      <c r="R11" s="288">
        <v>0</v>
      </c>
      <c r="U11" s="15">
        <v>4203</v>
      </c>
      <c r="V11" s="16">
        <v>1</v>
      </c>
      <c r="W11" s="16"/>
      <c r="X11" s="478">
        <v>1</v>
      </c>
      <c r="Z11" s="19"/>
      <c r="AA11" s="15">
        <v>2062</v>
      </c>
      <c r="AF11" s="16">
        <v>8.26</v>
      </c>
      <c r="AL11" s="478">
        <v>8.26</v>
      </c>
      <c r="AM11"/>
      <c r="AN11"/>
      <c r="AO11">
        <f t="shared" si="0"/>
        <v>1</v>
      </c>
      <c r="AP11" t="str" cm="1">
        <f t="array" ref="AP11">INDEX($AB$5:$AK$5,1,_xlfn.XMATCH(LARGE($AB11:$AK11,AQ$5),$AB11:$AK11))</f>
        <v>SEMH</v>
      </c>
      <c r="AQ11" s="10" cm="1">
        <f t="array" ref="AQ11">INDEX($AB11:$AK11,1,_xlfn.XMATCH(AP11,$AB$5:$AK$5))</f>
        <v>8.26</v>
      </c>
      <c r="AR11" t="str" cm="1">
        <f t="array" ref="AR11">IF($AO11&gt;=AS$5,INDEX($AB$5:$AK$5,1,_xlfn.XMATCH(LARGE($AB11:$AK11,AS$5),$AB11:$AK11)),"")</f>
        <v/>
      </c>
      <c r="AS11" s="10" cm="1">
        <f t="array" ref="AS11">IF($AO11&gt;=AS$5,INDEX($AB11:$AK11,1,_xlfn.XMATCH(AR11,$AB$5:$AK$5)),0)</f>
        <v>0</v>
      </c>
      <c r="AT11" t="str" cm="1">
        <f t="array" ref="AT11">IF($AO11&gt;=AU$5,INDEX($AB$5:$AK$5,1,_xlfn.XMATCH(LARGE($AB11:$AK11,AU$5),$AB11:$AK11)),"")</f>
        <v/>
      </c>
      <c r="AU11" s="10" cm="1">
        <f t="array" ref="AU11">IF($AO11&gt;=AU$5,INDEX($AB11:$AK11,1,_xlfn.XMATCH(AT11,$AB$5:$AK$5)),0)</f>
        <v>0</v>
      </c>
      <c r="AV11" s="10">
        <f t="shared" si="1"/>
        <v>0</v>
      </c>
    </row>
    <row r="12" spans="1:48">
      <c r="A12" s="282">
        <v>2005</v>
      </c>
      <c r="B12" s="194"/>
      <c r="C12" s="282"/>
      <c r="D12" s="282"/>
      <c r="E12" s="282"/>
      <c r="F12" s="283"/>
      <c r="G12" s="479">
        <v>0</v>
      </c>
      <c r="H12" s="282">
        <v>1</v>
      </c>
      <c r="I12" s="282">
        <v>850</v>
      </c>
      <c r="J12" s="282" t="s">
        <v>390</v>
      </c>
      <c r="K12" s="282" t="s">
        <v>391</v>
      </c>
      <c r="L12" s="286">
        <v>45536</v>
      </c>
      <c r="M12" s="281"/>
      <c r="N12" s="195" t="s">
        <v>213</v>
      </c>
      <c r="O12" s="466">
        <v>0</v>
      </c>
      <c r="P12" s="285">
        <v>45901</v>
      </c>
      <c r="Q12" s="285">
        <v>46022</v>
      </c>
      <c r="R12" s="288">
        <v>1</v>
      </c>
      <c r="U12" s="15">
        <v>3404</v>
      </c>
      <c r="V12" s="16">
        <v>4</v>
      </c>
      <c r="W12" s="16"/>
      <c r="X12" s="478">
        <v>4</v>
      </c>
      <c r="Z12" s="19"/>
      <c r="AA12" s="15">
        <v>2103</v>
      </c>
      <c r="AF12" s="16">
        <v>8</v>
      </c>
      <c r="AL12" s="478">
        <v>8</v>
      </c>
      <c r="AM12"/>
      <c r="AN12"/>
      <c r="AO12">
        <f t="shared" si="0"/>
        <v>1</v>
      </c>
      <c r="AP12" t="str" cm="1">
        <f t="array" ref="AP12">INDEX($AB$5:$AK$5,1,_xlfn.XMATCH(LARGE($AB12:$AK12,AQ$5),$AB12:$AK12))</f>
        <v>SEMH</v>
      </c>
      <c r="AQ12" s="10" cm="1">
        <f t="array" ref="AQ12">INDEX($AB12:$AK12,1,_xlfn.XMATCH(AP12,$AB$5:$AK$5))</f>
        <v>8</v>
      </c>
      <c r="AR12" t="str" cm="1">
        <f t="array" ref="AR12">IF($AO12&gt;=AS$5,INDEX($AB$5:$AK$5,1,_xlfn.XMATCH(LARGE($AB12:$AK12,AS$5),$AB12:$AK12)),"")</f>
        <v/>
      </c>
      <c r="AS12" s="10" cm="1">
        <f t="array" ref="AS12">IF($AO12&gt;=AS$5,INDEX($AB12:$AK12,1,_xlfn.XMATCH(AR12,$AB$5:$AK$5)),0)</f>
        <v>0</v>
      </c>
      <c r="AT12" t="str" cm="1">
        <f t="array" ref="AT12">IF($AO12&gt;=AU$5,INDEX($AB$5:$AK$5,1,_xlfn.XMATCH(LARGE($AB12:$AK12,AU$5),$AB12:$AK12)),"")</f>
        <v/>
      </c>
      <c r="AU12" s="10" cm="1">
        <f t="array" ref="AU12">IF($AO12&gt;=AU$5,INDEX($AB12:$AK12,1,_xlfn.XMATCH(AT12,$AB$5:$AK$5)),0)</f>
        <v>0</v>
      </c>
      <c r="AV12" s="10">
        <f t="shared" si="1"/>
        <v>0</v>
      </c>
    </row>
    <row r="13" spans="1:48">
      <c r="A13" s="282">
        <v>2005</v>
      </c>
      <c r="B13" s="194"/>
      <c r="C13" s="282"/>
      <c r="D13" s="282"/>
      <c r="E13" s="282"/>
      <c r="F13" s="283"/>
      <c r="G13" s="282">
        <v>-1</v>
      </c>
      <c r="H13" s="282">
        <v>0</v>
      </c>
      <c r="I13" s="282">
        <v>850</v>
      </c>
      <c r="J13" s="282" t="s">
        <v>390</v>
      </c>
      <c r="K13" s="282" t="s">
        <v>391</v>
      </c>
      <c r="L13" s="286">
        <v>45901</v>
      </c>
      <c r="M13" s="284"/>
      <c r="N13" s="195" t="s">
        <v>213</v>
      </c>
      <c r="O13" s="466">
        <v>0</v>
      </c>
      <c r="P13" s="285">
        <v>45901</v>
      </c>
      <c r="Q13" s="285">
        <v>46022</v>
      </c>
      <c r="R13" s="288">
        <v>1</v>
      </c>
      <c r="U13" s="15" t="s">
        <v>330</v>
      </c>
      <c r="V13" s="16">
        <v>18</v>
      </c>
      <c r="W13" s="16">
        <v>7</v>
      </c>
      <c r="X13" s="478">
        <v>25</v>
      </c>
      <c r="Z13" s="19"/>
      <c r="AA13" s="15">
        <v>2111</v>
      </c>
      <c r="AH13" s="16">
        <v>7</v>
      </c>
      <c r="AK13" s="16">
        <v>12</v>
      </c>
      <c r="AL13" s="478">
        <v>19</v>
      </c>
      <c r="AM13"/>
      <c r="AN13"/>
      <c r="AO13">
        <f t="shared" si="0"/>
        <v>2</v>
      </c>
      <c r="AP13" t="str" cm="1">
        <f t="array" ref="AP13">INDEX($AB$5:$AK$5,1,_xlfn.XMATCH(LARGE($AB13:$AK13,AQ$5),$AB13:$AK13))</f>
        <v>ASC</v>
      </c>
      <c r="AQ13" s="10" cm="1">
        <f t="array" ref="AQ13">INDEX($AB13:$AK13,1,_xlfn.XMATCH(AP13,$AB$5:$AK$5))</f>
        <v>12</v>
      </c>
      <c r="AR13" t="str" cm="1">
        <f t="array" ref="AR13">IF($AO13&gt;=AS$5,INDEX($AB$5:$AK$5,1,_xlfn.XMATCH(LARGE($AB13:$AK13,AS$5),$AB13:$AK13)),"")</f>
        <v>SLD</v>
      </c>
      <c r="AS13" s="10" cm="1">
        <f t="array" ref="AS13">IF($AO13&gt;=AS$5,INDEX($AB13:$AK13,1,_xlfn.XMATCH(AR13,$AB$5:$AK$5)),0)</f>
        <v>7</v>
      </c>
      <c r="AT13" t="str" cm="1">
        <f t="array" ref="AT13">IF($AO13&gt;=AU$5,INDEX($AB$5:$AK$5,1,_xlfn.XMATCH(LARGE($AB13:$AK13,AU$5),$AB13:$AK13)),"")</f>
        <v/>
      </c>
      <c r="AU13" s="10" cm="1">
        <f t="array" ref="AU13">IF($AO13&gt;=AU$5,INDEX($AB13:$AK13,1,_xlfn.XMATCH(AT13,$AB$5:$AK$5)),0)</f>
        <v>0</v>
      </c>
      <c r="AV13" s="10">
        <f t="shared" si="1"/>
        <v>0</v>
      </c>
    </row>
    <row r="14" spans="1:48">
      <c r="A14" s="282">
        <v>2005</v>
      </c>
      <c r="B14" s="194"/>
      <c r="C14" s="282"/>
      <c r="D14" s="282"/>
      <c r="E14" s="282"/>
      <c r="F14" s="283"/>
      <c r="G14" s="282">
        <v>2</v>
      </c>
      <c r="H14" s="282">
        <v>3</v>
      </c>
      <c r="I14" s="282">
        <v>850</v>
      </c>
      <c r="J14" s="282" t="s">
        <v>390</v>
      </c>
      <c r="K14" s="282" t="s">
        <v>391</v>
      </c>
      <c r="L14" s="286">
        <v>44805</v>
      </c>
      <c r="M14" s="281">
        <v>45900</v>
      </c>
      <c r="N14" s="195" t="s">
        <v>213</v>
      </c>
      <c r="O14" s="466">
        <v>0</v>
      </c>
      <c r="P14" s="285" t="s">
        <v>399</v>
      </c>
      <c r="Q14" s="285" t="s">
        <v>399</v>
      </c>
      <c r="R14" s="288">
        <v>0</v>
      </c>
      <c r="V14"/>
      <c r="W14"/>
      <c r="X14"/>
      <c r="Z14" s="19"/>
      <c r="AA14" s="15">
        <v>2127</v>
      </c>
      <c r="AC14" s="16">
        <v>9</v>
      </c>
      <c r="AL14" s="478">
        <v>9</v>
      </c>
      <c r="AM14"/>
      <c r="AN14"/>
      <c r="AO14">
        <f t="shared" si="0"/>
        <v>1</v>
      </c>
      <c r="AP14" t="str" cm="1">
        <f t="array" ref="AP14">INDEX($AB$5:$AK$5,1,_xlfn.XMATCH(LARGE($AB14:$AK14,AQ$5),$AB14:$AK14))</f>
        <v>MLD</v>
      </c>
      <c r="AQ14" s="10" cm="1">
        <f t="array" ref="AQ14">INDEX($AB14:$AK14,1,_xlfn.XMATCH(AP14,$AB$5:$AK$5))</f>
        <v>9</v>
      </c>
      <c r="AR14" t="str" cm="1">
        <f t="array" ref="AR14">IF($AO14&gt;=AS$5,INDEX($AB$5:$AK$5,1,_xlfn.XMATCH(LARGE($AB14:$AK14,AS$5),$AB14:$AK14)),"")</f>
        <v/>
      </c>
      <c r="AS14" s="10" cm="1">
        <f t="array" ref="AS14">IF($AO14&gt;=AS$5,INDEX($AB14:$AK14,1,_xlfn.XMATCH(AR14,$AB$5:$AK$5)),0)</f>
        <v>0</v>
      </c>
      <c r="AT14" t="str" cm="1">
        <f t="array" ref="AT14">IF($AO14&gt;=AU$5,INDEX($AB$5:$AK$5,1,_xlfn.XMATCH(LARGE($AB14:$AK14,AU$5),$AB14:$AK14)),"")</f>
        <v/>
      </c>
      <c r="AU14" s="10" cm="1">
        <f t="array" ref="AU14">IF($AO14&gt;=AU$5,INDEX($AB14:$AK14,1,_xlfn.XMATCH(AT14,$AB$5:$AK$5)),0)</f>
        <v>0</v>
      </c>
      <c r="AV14" s="10">
        <f t="shared" si="1"/>
        <v>0</v>
      </c>
    </row>
    <row r="15" spans="1:48">
      <c r="A15" s="282">
        <v>2005</v>
      </c>
      <c r="B15" s="194"/>
      <c r="C15" s="282"/>
      <c r="D15" s="282"/>
      <c r="E15" s="282"/>
      <c r="F15" s="283"/>
      <c r="G15" s="282">
        <v>0</v>
      </c>
      <c r="H15" s="282">
        <v>1</v>
      </c>
      <c r="I15" s="282">
        <v>850</v>
      </c>
      <c r="J15" s="282" t="s">
        <v>390</v>
      </c>
      <c r="K15" s="282" t="s">
        <v>391</v>
      </c>
      <c r="L15" s="286">
        <v>45536</v>
      </c>
      <c r="M15" s="281"/>
      <c r="N15" s="195" t="s">
        <v>213</v>
      </c>
      <c r="O15" s="466">
        <v>0</v>
      </c>
      <c r="P15" s="285">
        <v>45901</v>
      </c>
      <c r="Q15" s="285">
        <v>46022</v>
      </c>
      <c r="R15" s="288">
        <v>1</v>
      </c>
      <c r="V15"/>
      <c r="W15"/>
      <c r="X15"/>
      <c r="Z15" s="19"/>
      <c r="AA15" s="15">
        <v>2220</v>
      </c>
      <c r="AG15" s="16">
        <v>9</v>
      </c>
      <c r="AL15" s="478">
        <v>9</v>
      </c>
      <c r="AM15"/>
      <c r="AN15"/>
      <c r="AO15">
        <f t="shared" si="0"/>
        <v>1</v>
      </c>
      <c r="AP15" t="str" cm="1">
        <f t="array" ref="AP15">INDEX($AB$5:$AK$5,1,_xlfn.XMATCH(LARGE($AB15:$AK15,AQ$5),$AB15:$AK15))</f>
        <v>SLCN</v>
      </c>
      <c r="AQ15" s="10" cm="1">
        <f t="array" ref="AQ15">INDEX($AB15:$AK15,1,_xlfn.XMATCH(AP15,$AB$5:$AK$5))</f>
        <v>9</v>
      </c>
      <c r="AR15" t="str" cm="1">
        <f t="array" ref="AR15">IF($AO15&gt;=AS$5,INDEX($AB$5:$AK$5,1,_xlfn.XMATCH(LARGE($AB15:$AK15,AS$5),$AB15:$AK15)),"")</f>
        <v/>
      </c>
      <c r="AS15" s="10" cm="1">
        <f t="array" ref="AS15">IF($AO15&gt;=AS$5,INDEX($AB15:$AK15,1,_xlfn.XMATCH(AR15,$AB$5:$AK$5)),0)</f>
        <v>0</v>
      </c>
      <c r="AT15" t="str" cm="1">
        <f t="array" ref="AT15">IF($AO15&gt;=AU$5,INDEX($AB$5:$AK$5,1,_xlfn.XMATCH(LARGE($AB15:$AK15,AU$5),$AB15:$AK15)),"")</f>
        <v/>
      </c>
      <c r="AU15" s="10" cm="1">
        <f t="array" ref="AU15">IF($AO15&gt;=AU$5,INDEX($AB15:$AK15,1,_xlfn.XMATCH(AT15,$AB$5:$AK$5)),0)</f>
        <v>0</v>
      </c>
      <c r="AV15" s="10">
        <f t="shared" si="1"/>
        <v>0</v>
      </c>
    </row>
    <row r="16" spans="1:48">
      <c r="A16" s="282">
        <v>2005</v>
      </c>
      <c r="B16" s="194"/>
      <c r="C16" s="282"/>
      <c r="D16" s="282"/>
      <c r="E16" s="282"/>
      <c r="F16" s="283"/>
      <c r="G16" s="282">
        <v>1</v>
      </c>
      <c r="H16" s="282">
        <v>2</v>
      </c>
      <c r="I16" s="282">
        <v>850</v>
      </c>
      <c r="J16" s="282" t="s">
        <v>390</v>
      </c>
      <c r="K16" s="282" t="s">
        <v>391</v>
      </c>
      <c r="L16" s="286">
        <v>45170</v>
      </c>
      <c r="M16" s="281"/>
      <c r="N16" s="195" t="s">
        <v>213</v>
      </c>
      <c r="O16" s="466">
        <v>0</v>
      </c>
      <c r="P16" s="285">
        <v>45901</v>
      </c>
      <c r="Q16" s="285">
        <v>46022</v>
      </c>
      <c r="R16" s="288">
        <v>1</v>
      </c>
      <c r="V16"/>
      <c r="W16"/>
      <c r="X16"/>
      <c r="Z16" s="19"/>
      <c r="AA16" s="15">
        <v>2228</v>
      </c>
      <c r="AC16" s="16">
        <v>0</v>
      </c>
      <c r="AG16" s="16">
        <v>23</v>
      </c>
      <c r="AL16" s="478">
        <v>23</v>
      </c>
      <c r="AM16"/>
      <c r="AN16"/>
      <c r="AO16">
        <f t="shared" si="0"/>
        <v>1</v>
      </c>
      <c r="AP16" t="str" cm="1">
        <f t="array" ref="AP16">INDEX($AB$5:$AK$5,1,_xlfn.XMATCH(LARGE($AB16:$AK16,AQ$5),$AB16:$AK16))</f>
        <v>SLCN</v>
      </c>
      <c r="AQ16" s="10" cm="1">
        <f t="array" ref="AQ16">INDEX($AB16:$AK16,1,_xlfn.XMATCH(AP16,$AB$5:$AK$5))</f>
        <v>23</v>
      </c>
      <c r="AR16" t="str" cm="1">
        <f t="array" ref="AR16">IF($AO16&gt;=AS$5,INDEX($AB$5:$AK$5,1,_xlfn.XMATCH(LARGE($AB16:$AK16,AS$5),$AB16:$AK16)),"")</f>
        <v/>
      </c>
      <c r="AS16" s="10" cm="1">
        <f t="array" ref="AS16">IF($AO16&gt;=AS$5,INDEX($AB16:$AK16,1,_xlfn.XMATCH(AR16,$AB$5:$AK$5)),0)</f>
        <v>0</v>
      </c>
      <c r="AT16" t="str" cm="1">
        <f t="array" ref="AT16">IF($AO16&gt;=AU$5,INDEX($AB$5:$AK$5,1,_xlfn.XMATCH(LARGE($AB16:$AK16,AU$5),$AB16:$AK16)),"")</f>
        <v/>
      </c>
      <c r="AU16" s="10" cm="1">
        <f t="array" ref="AU16">IF($AO16&gt;=AU$5,INDEX($AB16:$AK16,1,_xlfn.XMATCH(AT16,$AB$5:$AK$5)),0)</f>
        <v>0</v>
      </c>
      <c r="AV16" s="10">
        <f t="shared" si="1"/>
        <v>0</v>
      </c>
    </row>
    <row r="17" spans="1:48">
      <c r="A17" s="282">
        <v>2005</v>
      </c>
      <c r="B17" s="194"/>
      <c r="C17" s="282"/>
      <c r="D17" s="282"/>
      <c r="E17" s="282"/>
      <c r="F17" s="283"/>
      <c r="G17" s="282">
        <v>-1</v>
      </c>
      <c r="H17" s="282">
        <v>0</v>
      </c>
      <c r="I17" s="282">
        <v>850</v>
      </c>
      <c r="J17" s="282" t="s">
        <v>390</v>
      </c>
      <c r="K17" s="282" t="s">
        <v>391</v>
      </c>
      <c r="L17" s="286">
        <v>45901</v>
      </c>
      <c r="M17" s="284"/>
      <c r="N17" s="195" t="s">
        <v>213</v>
      </c>
      <c r="O17" s="466">
        <v>0</v>
      </c>
      <c r="P17" s="285">
        <v>45901</v>
      </c>
      <c r="Q17" s="285">
        <v>46022</v>
      </c>
      <c r="R17" s="288">
        <v>1</v>
      </c>
      <c r="V17"/>
      <c r="W17"/>
      <c r="X17"/>
      <c r="Z17" s="19"/>
      <c r="AA17" s="15">
        <v>2237</v>
      </c>
      <c r="AG17" s="16">
        <v>7</v>
      </c>
      <c r="AL17" s="478">
        <v>7</v>
      </c>
      <c r="AM17"/>
      <c r="AN17"/>
      <c r="AO17">
        <f t="shared" si="0"/>
        <v>1</v>
      </c>
      <c r="AP17" t="str" cm="1">
        <f t="array" ref="AP17">INDEX($AB$5:$AK$5,1,_xlfn.XMATCH(LARGE($AB17:$AK17,AQ$5),$AB17:$AK17))</f>
        <v>SLCN</v>
      </c>
      <c r="AQ17" s="10" cm="1">
        <f t="array" ref="AQ17">INDEX($AB17:$AK17,1,_xlfn.XMATCH(AP17,$AB$5:$AK$5))</f>
        <v>7</v>
      </c>
      <c r="AR17" t="str" cm="1">
        <f t="array" ref="AR17">IF($AO17&gt;=AS$5,INDEX($AB$5:$AK$5,1,_xlfn.XMATCH(LARGE($AB17:$AK17,AS$5),$AB17:$AK17)),"")</f>
        <v/>
      </c>
      <c r="AS17" s="10" cm="1">
        <f t="array" ref="AS17">IF($AO17&gt;=AS$5,INDEX($AB17:$AK17,1,_xlfn.XMATCH(AR17,$AB$5:$AK$5)),0)</f>
        <v>0</v>
      </c>
      <c r="AT17" t="str" cm="1">
        <f t="array" ref="AT17">IF($AO17&gt;=AU$5,INDEX($AB$5:$AK$5,1,_xlfn.XMATCH(LARGE($AB17:$AK17,AU$5),$AB17:$AK17)),"")</f>
        <v/>
      </c>
      <c r="AU17" s="10" cm="1">
        <f t="array" ref="AU17">IF($AO17&gt;=AU$5,INDEX($AB17:$AK17,1,_xlfn.XMATCH(AT17,$AB$5:$AK$5)),0)</f>
        <v>0</v>
      </c>
      <c r="AV17" s="10">
        <f t="shared" si="1"/>
        <v>0</v>
      </c>
    </row>
    <row r="18" spans="1:48">
      <c r="A18" s="282">
        <v>2005</v>
      </c>
      <c r="B18" s="194"/>
      <c r="C18" s="282"/>
      <c r="D18" s="282"/>
      <c r="E18" s="282"/>
      <c r="F18" s="283"/>
      <c r="G18" s="282">
        <v>2</v>
      </c>
      <c r="H18" s="282">
        <v>3</v>
      </c>
      <c r="I18" s="282">
        <v>850</v>
      </c>
      <c r="J18" s="282" t="s">
        <v>390</v>
      </c>
      <c r="K18" s="282" t="s">
        <v>391</v>
      </c>
      <c r="L18" s="286">
        <v>44805</v>
      </c>
      <c r="M18" s="284">
        <v>45900</v>
      </c>
      <c r="N18" s="195" t="s">
        <v>213</v>
      </c>
      <c r="O18" s="466">
        <v>0</v>
      </c>
      <c r="P18" s="285" t="s">
        <v>399</v>
      </c>
      <c r="Q18" s="285" t="s">
        <v>399</v>
      </c>
      <c r="R18" s="288">
        <v>0</v>
      </c>
      <c r="Z18" s="19"/>
      <c r="AA18" s="15">
        <v>2291</v>
      </c>
      <c r="AC18" s="16">
        <v>7</v>
      </c>
      <c r="AL18" s="478">
        <v>7</v>
      </c>
      <c r="AM18"/>
      <c r="AN18"/>
      <c r="AO18">
        <f t="shared" si="0"/>
        <v>1</v>
      </c>
      <c r="AP18" t="str" cm="1">
        <f t="array" ref="AP18">INDEX($AB$5:$AK$5,1,_xlfn.XMATCH(LARGE($AB18:$AK18,AQ$5),$AB18:$AK18))</f>
        <v>MLD</v>
      </c>
      <c r="AQ18" s="10" cm="1">
        <f t="array" ref="AQ18">INDEX($AB18:$AK18,1,_xlfn.XMATCH(AP18,$AB$5:$AK$5))</f>
        <v>7</v>
      </c>
      <c r="AR18" t="str" cm="1">
        <f t="array" ref="AR18">IF($AO18&gt;=AS$5,INDEX($AB$5:$AK$5,1,_xlfn.XMATCH(LARGE($AB18:$AK18,AS$5),$AB18:$AK18)),"")</f>
        <v/>
      </c>
      <c r="AS18" s="10" cm="1">
        <f t="array" ref="AS18">IF($AO18&gt;=AS$5,INDEX($AB18:$AK18,1,_xlfn.XMATCH(AR18,$AB$5:$AK$5)),0)</f>
        <v>0</v>
      </c>
      <c r="AT18" t="str" cm="1">
        <f t="array" ref="AT18">IF($AO18&gt;=AU$5,INDEX($AB$5:$AK$5,1,_xlfn.XMATCH(LARGE($AB18:$AK18,AU$5),$AB18:$AK18)),"")</f>
        <v/>
      </c>
      <c r="AU18" s="10" cm="1">
        <f t="array" ref="AU18">IF($AO18&gt;=AU$5,INDEX($AB18:$AK18,1,_xlfn.XMATCH(AT18,$AB$5:$AK$5)),0)</f>
        <v>0</v>
      </c>
      <c r="AV18" s="10">
        <f t="shared" si="1"/>
        <v>0</v>
      </c>
    </row>
    <row r="19" spans="1:48">
      <c r="A19" s="282">
        <v>2005</v>
      </c>
      <c r="B19" s="194"/>
      <c r="C19" s="282"/>
      <c r="D19" s="282"/>
      <c r="E19" s="282"/>
      <c r="F19" s="283"/>
      <c r="G19" s="282">
        <v>1</v>
      </c>
      <c r="H19" s="282">
        <v>2</v>
      </c>
      <c r="I19" s="282">
        <v>850</v>
      </c>
      <c r="J19" s="282" t="s">
        <v>390</v>
      </c>
      <c r="K19" s="282" t="s">
        <v>391</v>
      </c>
      <c r="L19" s="286">
        <v>45170</v>
      </c>
      <c r="M19" s="284"/>
      <c r="N19" s="195" t="s">
        <v>213</v>
      </c>
      <c r="O19" s="466">
        <v>0</v>
      </c>
      <c r="P19" s="285">
        <v>45901</v>
      </c>
      <c r="Q19" s="285">
        <v>46022</v>
      </c>
      <c r="R19" s="288">
        <v>1</v>
      </c>
      <c r="Z19" s="19"/>
      <c r="AA19" s="15">
        <v>2347</v>
      </c>
      <c r="AJ19" s="16">
        <v>10</v>
      </c>
      <c r="AL19" s="478">
        <v>10</v>
      </c>
      <c r="AM19"/>
      <c r="AN19"/>
      <c r="AO19">
        <f t="shared" si="0"/>
        <v>1</v>
      </c>
      <c r="AP19" t="str" cm="1">
        <f t="array" ref="AP19">INDEX($AB$5:$AK$5,1,_xlfn.XMATCH(LARGE($AB19:$AK19,AQ$5),$AB19:$AK19))</f>
        <v>VI</v>
      </c>
      <c r="AQ19" s="10" cm="1">
        <f t="array" ref="AQ19">INDEX($AB19:$AK19,1,_xlfn.XMATCH(AP19,$AB$5:$AK$5))</f>
        <v>10</v>
      </c>
      <c r="AR19" t="str" cm="1">
        <f t="array" ref="AR19">IF($AO19&gt;=AS$5,INDEX($AB$5:$AK$5,1,_xlfn.XMATCH(LARGE($AB19:$AK19,AS$5),$AB19:$AK19)),"")</f>
        <v/>
      </c>
      <c r="AS19" s="10" cm="1">
        <f t="array" ref="AS19">IF($AO19&gt;=AS$5,INDEX($AB19:$AK19,1,_xlfn.XMATCH(AR19,$AB$5:$AK$5)),0)</f>
        <v>0</v>
      </c>
      <c r="AT19" t="str" cm="1">
        <f t="array" ref="AT19">IF($AO19&gt;=AU$5,INDEX($AB$5:$AK$5,1,_xlfn.XMATCH(LARGE($AB19:$AK19,AU$5),$AB19:$AK19)),"")</f>
        <v/>
      </c>
      <c r="AU19" s="10" cm="1">
        <f t="array" ref="AU19">IF($AO19&gt;=AU$5,INDEX($AB19:$AK19,1,_xlfn.XMATCH(AT19,$AB$5:$AK$5)),0)</f>
        <v>0</v>
      </c>
      <c r="AV19" s="10">
        <f t="shared" si="1"/>
        <v>0</v>
      </c>
    </row>
    <row r="20" spans="1:48">
      <c r="A20" s="282">
        <v>2005</v>
      </c>
      <c r="B20" s="194"/>
      <c r="C20" s="282"/>
      <c r="D20" s="282"/>
      <c r="E20" s="282"/>
      <c r="F20" s="283"/>
      <c r="G20" s="282">
        <v>-1</v>
      </c>
      <c r="H20" s="282">
        <v>0</v>
      </c>
      <c r="I20" s="282">
        <v>850</v>
      </c>
      <c r="J20" s="282" t="s">
        <v>390</v>
      </c>
      <c r="K20" s="282" t="s">
        <v>391</v>
      </c>
      <c r="L20" s="286">
        <v>45901</v>
      </c>
      <c r="M20" s="284"/>
      <c r="N20" s="195" t="s">
        <v>213</v>
      </c>
      <c r="O20" s="466">
        <v>0</v>
      </c>
      <c r="P20" s="285">
        <v>45901</v>
      </c>
      <c r="Q20" s="285">
        <v>46022</v>
      </c>
      <c r="R20" s="288">
        <v>1</v>
      </c>
      <c r="Z20" s="19"/>
      <c r="AA20" s="15">
        <v>2377</v>
      </c>
      <c r="AC20" s="16">
        <v>10</v>
      </c>
      <c r="AL20" s="478">
        <v>10</v>
      </c>
      <c r="AM20"/>
      <c r="AN20"/>
      <c r="AO20">
        <f t="shared" si="0"/>
        <v>1</v>
      </c>
      <c r="AP20" t="str" cm="1">
        <f t="array" ref="AP20">INDEX($AB$5:$AK$5,1,_xlfn.XMATCH(LARGE($AB20:$AK20,AQ$5),$AB20:$AK20))</f>
        <v>MLD</v>
      </c>
      <c r="AQ20" s="10" cm="1">
        <f t="array" ref="AQ20">INDEX($AB20:$AK20,1,_xlfn.XMATCH(AP20,$AB$5:$AK$5))</f>
        <v>10</v>
      </c>
      <c r="AR20" t="str" cm="1">
        <f t="array" ref="AR20">IF($AO20&gt;=AS$5,INDEX($AB$5:$AK$5,1,_xlfn.XMATCH(LARGE($AB20:$AK20,AS$5),$AB20:$AK20)),"")</f>
        <v/>
      </c>
      <c r="AS20" s="10" cm="1">
        <f t="array" ref="AS20">IF($AO20&gt;=AS$5,INDEX($AB20:$AK20,1,_xlfn.XMATCH(AR20,$AB$5:$AK$5)),0)</f>
        <v>0</v>
      </c>
      <c r="AT20" t="str" cm="1">
        <f t="array" ref="AT20">IF($AO20&gt;=AU$5,INDEX($AB$5:$AK$5,1,_xlfn.XMATCH(LARGE($AB20:$AK20,AU$5),$AB20:$AK20)),"")</f>
        <v/>
      </c>
      <c r="AU20" s="10" cm="1">
        <f t="array" ref="AU20">IF($AO20&gt;=AU$5,INDEX($AB20:$AK20,1,_xlfn.XMATCH(AT20,$AB$5:$AK$5)),0)</f>
        <v>0</v>
      </c>
      <c r="AV20" s="10">
        <f t="shared" si="1"/>
        <v>0</v>
      </c>
    </row>
    <row r="21" spans="1:48">
      <c r="A21" s="282">
        <v>2005</v>
      </c>
      <c r="B21" s="194"/>
      <c r="C21" s="282"/>
      <c r="D21" s="282"/>
      <c r="E21" s="282"/>
      <c r="F21" s="283"/>
      <c r="G21" s="282">
        <v>1</v>
      </c>
      <c r="H21" s="282">
        <v>2</v>
      </c>
      <c r="I21" s="282">
        <v>850</v>
      </c>
      <c r="J21" s="282" t="s">
        <v>390</v>
      </c>
      <c r="K21" s="282" t="s">
        <v>391</v>
      </c>
      <c r="L21" s="286">
        <v>45170</v>
      </c>
      <c r="M21" s="281"/>
      <c r="N21" s="195" t="s">
        <v>213</v>
      </c>
      <c r="O21" s="466">
        <v>0</v>
      </c>
      <c r="P21" s="285">
        <v>45901</v>
      </c>
      <c r="Q21" s="285">
        <v>46022</v>
      </c>
      <c r="R21" s="288">
        <v>1</v>
      </c>
      <c r="Z21" s="19"/>
      <c r="AA21" s="15">
        <v>2520</v>
      </c>
      <c r="AB21" s="16">
        <v>3</v>
      </c>
      <c r="AL21" s="478">
        <v>3</v>
      </c>
      <c r="AM21"/>
      <c r="AN21"/>
      <c r="AO21">
        <f t="shared" si="0"/>
        <v>1</v>
      </c>
      <c r="AP21" t="str" cm="1">
        <f t="array" ref="AP21">INDEX($AB$5:$AK$5,1,_xlfn.XMATCH(LARGE($AB21:$AK21,AQ$5),$AB21:$AK21))</f>
        <v>HI</v>
      </c>
      <c r="AQ21" s="10" cm="1">
        <f t="array" ref="AQ21">INDEX($AB21:$AK21,1,_xlfn.XMATCH(AP21,$AB$5:$AK$5))</f>
        <v>3</v>
      </c>
      <c r="AR21" t="str" cm="1">
        <f t="array" ref="AR21">IF($AO21&gt;=AS$5,INDEX($AB$5:$AK$5,1,_xlfn.XMATCH(LARGE($AB21:$AK21,AS$5),$AB21:$AK21)),"")</f>
        <v/>
      </c>
      <c r="AS21" s="10" cm="1">
        <f t="array" ref="AS21">IF($AO21&gt;=AS$5,INDEX($AB21:$AK21,1,_xlfn.XMATCH(AR21,$AB$5:$AK$5)),0)</f>
        <v>0</v>
      </c>
      <c r="AT21" t="str" cm="1">
        <f t="array" ref="AT21">IF($AO21&gt;=AU$5,INDEX($AB$5:$AK$5,1,_xlfn.XMATCH(LARGE($AB21:$AK21,AU$5),$AB21:$AK21)),"")</f>
        <v/>
      </c>
      <c r="AU21" s="10" cm="1">
        <f t="array" ref="AU21">IF($AO21&gt;=AU$5,INDEX($AB21:$AK21,1,_xlfn.XMATCH(AT21,$AB$5:$AK$5)),0)</f>
        <v>0</v>
      </c>
      <c r="AV21" s="10">
        <f t="shared" si="1"/>
        <v>0</v>
      </c>
    </row>
    <row r="22" spans="1:48">
      <c r="A22" s="282">
        <v>2005</v>
      </c>
      <c r="B22" s="194"/>
      <c r="C22" s="282"/>
      <c r="D22" s="282"/>
      <c r="E22" s="282"/>
      <c r="F22" s="283"/>
      <c r="G22" s="282">
        <v>1</v>
      </c>
      <c r="H22" s="282">
        <v>2</v>
      </c>
      <c r="I22" s="282">
        <v>850</v>
      </c>
      <c r="J22" s="282" t="s">
        <v>390</v>
      </c>
      <c r="K22" s="282" t="s">
        <v>391</v>
      </c>
      <c r="L22" s="286">
        <v>45170</v>
      </c>
      <c r="M22" s="281"/>
      <c r="N22" s="195" t="s">
        <v>213</v>
      </c>
      <c r="O22" s="466">
        <v>0</v>
      </c>
      <c r="P22" s="285">
        <v>45901</v>
      </c>
      <c r="Q22" s="285">
        <v>46022</v>
      </c>
      <c r="R22" s="288">
        <v>1</v>
      </c>
      <c r="Z22" s="19"/>
      <c r="AA22" s="15">
        <v>2531</v>
      </c>
      <c r="AC22" s="16">
        <v>20</v>
      </c>
      <c r="AL22" s="478">
        <v>20</v>
      </c>
      <c r="AM22"/>
      <c r="AN22"/>
      <c r="AO22">
        <f t="shared" si="0"/>
        <v>1</v>
      </c>
      <c r="AP22" t="str" cm="1">
        <f t="array" ref="AP22">INDEX($AB$5:$AK$5,1,_xlfn.XMATCH(LARGE($AB22:$AK22,AQ$5),$AB22:$AK22))</f>
        <v>MLD</v>
      </c>
      <c r="AQ22" s="10" cm="1">
        <f t="array" ref="AQ22">INDEX($AB22:$AK22,1,_xlfn.XMATCH(AP22,$AB$5:$AK$5))</f>
        <v>20</v>
      </c>
      <c r="AR22" t="str" cm="1">
        <f t="array" ref="AR22">IF($AO22&gt;=AS$5,INDEX($AB$5:$AK$5,1,_xlfn.XMATCH(LARGE($AB22:$AK22,AS$5),$AB22:$AK22)),"")</f>
        <v/>
      </c>
      <c r="AS22" s="10" cm="1">
        <f t="array" ref="AS22">IF($AO22&gt;=AS$5,INDEX($AB22:$AK22,1,_xlfn.XMATCH(AR22,$AB$5:$AK$5)),0)</f>
        <v>0</v>
      </c>
      <c r="AT22" t="str" cm="1">
        <f t="array" ref="AT22">IF($AO22&gt;=AU$5,INDEX($AB$5:$AK$5,1,_xlfn.XMATCH(LARGE($AB22:$AK22,AU$5),$AB22:$AK22)),"")</f>
        <v/>
      </c>
      <c r="AU22" s="10" cm="1">
        <f t="array" ref="AU22">IF($AO22&gt;=AU$5,INDEX($AB22:$AK22,1,_xlfn.XMATCH(AT22,$AB$5:$AK$5)),0)</f>
        <v>0</v>
      </c>
      <c r="AV22" s="10">
        <f t="shared" si="1"/>
        <v>0</v>
      </c>
    </row>
    <row r="23" spans="1:48">
      <c r="A23" s="282">
        <v>2005</v>
      </c>
      <c r="B23" s="194"/>
      <c r="C23" s="282"/>
      <c r="D23" s="282"/>
      <c r="E23" s="282"/>
      <c r="F23" s="283"/>
      <c r="G23" s="479">
        <v>0</v>
      </c>
      <c r="H23" s="282">
        <v>1</v>
      </c>
      <c r="I23" s="282">
        <v>850</v>
      </c>
      <c r="J23" s="282" t="s">
        <v>390</v>
      </c>
      <c r="K23" s="282" t="s">
        <v>391</v>
      </c>
      <c r="L23" s="286">
        <v>45901</v>
      </c>
      <c r="M23" s="281"/>
      <c r="N23" s="195" t="s">
        <v>213</v>
      </c>
      <c r="O23" s="466">
        <v>0</v>
      </c>
      <c r="P23" s="285">
        <v>45901</v>
      </c>
      <c r="Q23" s="285">
        <v>46022</v>
      </c>
      <c r="R23" s="288">
        <v>1</v>
      </c>
      <c r="Z23" s="19"/>
      <c r="AA23" s="15">
        <v>2533</v>
      </c>
      <c r="AG23" s="16">
        <v>9</v>
      </c>
      <c r="AK23" s="16">
        <v>5</v>
      </c>
      <c r="AL23" s="478">
        <v>14</v>
      </c>
      <c r="AM23"/>
      <c r="AN23"/>
      <c r="AO23">
        <f t="shared" si="0"/>
        <v>2</v>
      </c>
      <c r="AP23" t="str" cm="1">
        <f t="array" ref="AP23">INDEX($AB$5:$AK$5,1,_xlfn.XMATCH(LARGE($AB23:$AK23,AQ$5),$AB23:$AK23))</f>
        <v>SLCN</v>
      </c>
      <c r="AQ23" s="10" cm="1">
        <f t="array" ref="AQ23">INDEX($AB23:$AK23,1,_xlfn.XMATCH(AP23,$AB$5:$AK$5))</f>
        <v>9</v>
      </c>
      <c r="AR23" t="str" cm="1">
        <f t="array" ref="AR23">IF($AO23&gt;=AS$5,INDEX($AB$5:$AK$5,1,_xlfn.XMATCH(LARGE($AB23:$AK23,AS$5),$AB23:$AK23)),"")</f>
        <v>ASC</v>
      </c>
      <c r="AS23" s="10" cm="1">
        <f t="array" ref="AS23">IF($AO23&gt;=AS$5,INDEX($AB23:$AK23,1,_xlfn.XMATCH(AR23,$AB$5:$AK$5)),0)</f>
        <v>5</v>
      </c>
      <c r="AT23" t="str" cm="1">
        <f t="array" ref="AT23">IF($AO23&gt;=AU$5,INDEX($AB$5:$AK$5,1,_xlfn.XMATCH(LARGE($AB23:$AK23,AU$5),$AB23:$AK23)),"")</f>
        <v/>
      </c>
      <c r="AU23" s="10" cm="1">
        <f t="array" ref="AU23">IF($AO23&gt;=AU$5,INDEX($AB23:$AK23,1,_xlfn.XMATCH(AT23,$AB$5:$AK$5)),0)</f>
        <v>0</v>
      </c>
      <c r="AV23" s="10">
        <f t="shared" si="1"/>
        <v>0</v>
      </c>
    </row>
    <row r="24" spans="1:48">
      <c r="A24" s="282">
        <v>2005</v>
      </c>
      <c r="B24" s="194"/>
      <c r="C24" s="282"/>
      <c r="D24" s="282"/>
      <c r="E24" s="282"/>
      <c r="F24" s="283"/>
      <c r="G24" s="479">
        <v>0</v>
      </c>
      <c r="H24" s="282">
        <v>1</v>
      </c>
      <c r="I24" s="282">
        <v>850</v>
      </c>
      <c r="J24" s="282" t="s">
        <v>390</v>
      </c>
      <c r="K24" s="282" t="s">
        <v>391</v>
      </c>
      <c r="L24" s="286">
        <v>45901</v>
      </c>
      <c r="M24" s="281"/>
      <c r="N24" s="195" t="s">
        <v>213</v>
      </c>
      <c r="O24" s="466">
        <v>0</v>
      </c>
      <c r="P24" s="285">
        <v>45901</v>
      </c>
      <c r="Q24" s="285">
        <v>46022</v>
      </c>
      <c r="R24" s="288">
        <v>1</v>
      </c>
      <c r="Z24" s="19"/>
      <c r="AA24" s="15">
        <v>2534</v>
      </c>
      <c r="AG24" s="16">
        <v>8</v>
      </c>
      <c r="AK24" s="16">
        <v>5</v>
      </c>
      <c r="AL24" s="478">
        <v>13</v>
      </c>
      <c r="AM24"/>
      <c r="AN24"/>
      <c r="AO24">
        <f t="shared" si="0"/>
        <v>2</v>
      </c>
      <c r="AP24" t="str" cm="1">
        <f t="array" ref="AP24">INDEX($AB$5:$AK$5,1,_xlfn.XMATCH(LARGE($AB24:$AK24,AQ$5),$AB24:$AK24))</f>
        <v>SLCN</v>
      </c>
      <c r="AQ24" s="10" cm="1">
        <f t="array" ref="AQ24">INDEX($AB24:$AK24,1,_xlfn.XMATCH(AP24,$AB$5:$AK$5))</f>
        <v>8</v>
      </c>
      <c r="AR24" t="str" cm="1">
        <f t="array" ref="AR24">IF($AO24&gt;=AS$5,INDEX($AB$5:$AK$5,1,_xlfn.XMATCH(LARGE($AB24:$AK24,AS$5),$AB24:$AK24)),"")</f>
        <v>ASC</v>
      </c>
      <c r="AS24" s="10" cm="1">
        <f t="array" ref="AS24">IF($AO24&gt;=AS$5,INDEX($AB24:$AK24,1,_xlfn.XMATCH(AR24,$AB$5:$AK$5)),0)</f>
        <v>5</v>
      </c>
      <c r="AT24" t="str" cm="1">
        <f t="array" ref="AT24">IF($AO24&gt;=AU$5,INDEX($AB$5:$AK$5,1,_xlfn.XMATCH(LARGE($AB24:$AK24,AU$5),$AB24:$AK24)),"")</f>
        <v/>
      </c>
      <c r="AU24" s="10" cm="1">
        <f t="array" ref="AU24">IF($AO24&gt;=AU$5,INDEX($AB24:$AK24,1,_xlfn.XMATCH(AT24,$AB$5:$AK$5)),0)</f>
        <v>0</v>
      </c>
      <c r="AV24" s="10">
        <f t="shared" si="1"/>
        <v>0</v>
      </c>
    </row>
    <row r="25" spans="1:48" ht="15.75" thickBot="1">
      <c r="A25" s="282">
        <v>2005</v>
      </c>
      <c r="B25" s="194"/>
      <c r="C25" s="282"/>
      <c r="D25" s="282"/>
      <c r="E25" s="282"/>
      <c r="F25" s="283"/>
      <c r="G25" s="479">
        <v>-1</v>
      </c>
      <c r="H25" s="282">
        <v>0</v>
      </c>
      <c r="I25" s="282">
        <v>850</v>
      </c>
      <c r="J25" s="282" t="s">
        <v>390</v>
      </c>
      <c r="K25" s="282" t="s">
        <v>391</v>
      </c>
      <c r="L25" s="286">
        <v>45901</v>
      </c>
      <c r="M25" s="281"/>
      <c r="N25" s="195" t="s">
        <v>213</v>
      </c>
      <c r="O25" s="466">
        <v>0</v>
      </c>
      <c r="P25" s="285">
        <v>45901</v>
      </c>
      <c r="Q25" s="285">
        <v>46022</v>
      </c>
      <c r="R25" s="288">
        <v>1</v>
      </c>
      <c r="U25" t="s">
        <v>380</v>
      </c>
      <c r="V25" t="s">
        <v>400</v>
      </c>
      <c r="Z25" s="19"/>
      <c r="AA25" s="15">
        <v>2732</v>
      </c>
      <c r="AB25" s="16">
        <v>5</v>
      </c>
      <c r="AL25" s="478">
        <v>5</v>
      </c>
      <c r="AM25"/>
      <c r="AN25"/>
      <c r="AO25">
        <f t="shared" si="0"/>
        <v>1</v>
      </c>
      <c r="AP25" t="str" cm="1">
        <f t="array" ref="AP25">INDEX($AB$5:$AK$5,1,_xlfn.XMATCH(LARGE($AB25:$AK25,AQ$5),$AB25:$AK25))</f>
        <v>HI</v>
      </c>
      <c r="AQ25" s="10" cm="1">
        <f t="array" ref="AQ25">INDEX($AB25:$AK25,1,_xlfn.XMATCH(AP25,$AB$5:$AK$5))</f>
        <v>5</v>
      </c>
      <c r="AR25" t="str" cm="1">
        <f t="array" ref="AR25">IF($AO25&gt;=AS$5,INDEX($AB$5:$AK$5,1,_xlfn.XMATCH(LARGE($AB25:$AK25,AS$5),$AB25:$AK25)),"")</f>
        <v/>
      </c>
      <c r="AS25" s="10" cm="1">
        <f t="array" ref="AS25">IF($AO25&gt;=AS$5,INDEX($AB25:$AK25,1,_xlfn.XMATCH(AR25,$AB$5:$AK$5)),0)</f>
        <v>0</v>
      </c>
      <c r="AT25" t="str" cm="1">
        <f t="array" ref="AT25">IF($AO25&gt;=AU$5,INDEX($AB$5:$AK$5,1,_xlfn.XMATCH(LARGE($AB25:$AK25,AU$5),$AB25:$AK25)),"")</f>
        <v/>
      </c>
      <c r="AU25" s="10" cm="1">
        <f t="array" ref="AU25">IF($AO25&gt;=AU$5,INDEX($AB25:$AK25,1,_xlfn.XMATCH(AT25,$AB$5:$AK$5)),0)</f>
        <v>0</v>
      </c>
      <c r="AV25" s="10">
        <f t="shared" si="1"/>
        <v>0</v>
      </c>
    </row>
    <row r="26" spans="1:48" ht="36.75" thickBot="1">
      <c r="A26" s="282">
        <v>2005</v>
      </c>
      <c r="B26" s="194"/>
      <c r="C26" s="282"/>
      <c r="D26" s="282"/>
      <c r="E26" s="282"/>
      <c r="F26" s="283"/>
      <c r="G26" s="479">
        <v>2</v>
      </c>
      <c r="H26" s="282">
        <v>3</v>
      </c>
      <c r="I26" s="282">
        <v>850</v>
      </c>
      <c r="J26" s="282" t="s">
        <v>390</v>
      </c>
      <c r="K26" s="282" t="s">
        <v>391</v>
      </c>
      <c r="L26" s="286">
        <v>44805</v>
      </c>
      <c r="M26" s="281">
        <v>45900</v>
      </c>
      <c r="N26" s="195" t="s">
        <v>213</v>
      </c>
      <c r="O26" s="466">
        <v>0</v>
      </c>
      <c r="P26" s="285" t="s">
        <v>399</v>
      </c>
      <c r="Q26" s="285" t="s">
        <v>399</v>
      </c>
      <c r="R26" s="288">
        <v>0</v>
      </c>
      <c r="U26" s="645" t="s">
        <v>386</v>
      </c>
      <c r="V26" s="646"/>
      <c r="W26" s="646"/>
      <c r="X26" s="647"/>
      <c r="Z26" s="19"/>
      <c r="AA26" s="15">
        <v>2774</v>
      </c>
      <c r="AG26" s="16">
        <v>17</v>
      </c>
      <c r="AK26" s="16">
        <v>7</v>
      </c>
      <c r="AL26" s="478">
        <v>24</v>
      </c>
      <c r="AM26"/>
      <c r="AN26"/>
      <c r="AO26">
        <f t="shared" si="0"/>
        <v>2</v>
      </c>
      <c r="AP26" t="str" cm="1">
        <f t="array" ref="AP26">INDEX($AB$5:$AK$5,1,_xlfn.XMATCH(LARGE($AB26:$AK26,AQ$5),$AB26:$AK26))</f>
        <v>SLCN</v>
      </c>
      <c r="AQ26" s="10" cm="1">
        <f t="array" ref="AQ26">INDEX($AB26:$AK26,1,_xlfn.XMATCH(AP26,$AB$5:$AK$5))</f>
        <v>17</v>
      </c>
      <c r="AR26" t="str" cm="1">
        <f t="array" ref="AR26">IF($AO26&gt;=AS$5,INDEX($AB$5:$AK$5,1,_xlfn.XMATCH(LARGE($AB26:$AK26,AS$5),$AB26:$AK26)),"")</f>
        <v>ASC</v>
      </c>
      <c r="AS26" s="10" cm="1">
        <f t="array" ref="AS26">IF($AO26&gt;=AS$5,INDEX($AB26:$AK26,1,_xlfn.XMATCH(AR26,$AB$5:$AK$5)),0)</f>
        <v>7</v>
      </c>
      <c r="AT26" t="str" cm="1">
        <f t="array" ref="AT26">IF($AO26&gt;=AU$5,INDEX($AB$5:$AK$5,1,_xlfn.XMATCH(LARGE($AB26:$AK26,AU$5),$AB26:$AK26)),"")</f>
        <v/>
      </c>
      <c r="AU26" s="10" cm="1">
        <f t="array" ref="AU26">IF($AO26&gt;=AU$5,INDEX($AB26:$AK26,1,_xlfn.XMATCH(AT26,$AB$5:$AK$5)),0)</f>
        <v>0</v>
      </c>
      <c r="AV26" s="10">
        <f t="shared" si="1"/>
        <v>0</v>
      </c>
    </row>
    <row r="27" spans="1:48">
      <c r="A27" s="282">
        <v>2005</v>
      </c>
      <c r="B27" s="194"/>
      <c r="C27" s="282"/>
      <c r="D27" s="282"/>
      <c r="E27" s="282"/>
      <c r="F27" s="283"/>
      <c r="G27" s="479">
        <v>2</v>
      </c>
      <c r="H27" s="282">
        <v>3</v>
      </c>
      <c r="I27" s="282">
        <v>850</v>
      </c>
      <c r="J27" s="282" t="s">
        <v>390</v>
      </c>
      <c r="K27" s="282" t="s">
        <v>391</v>
      </c>
      <c r="L27" s="286">
        <v>44805</v>
      </c>
      <c r="M27" s="281">
        <v>45900</v>
      </c>
      <c r="N27" s="195" t="s">
        <v>213</v>
      </c>
      <c r="O27" s="466">
        <v>0</v>
      </c>
      <c r="P27" s="285" t="s">
        <v>399</v>
      </c>
      <c r="Q27" s="285" t="s">
        <v>399</v>
      </c>
      <c r="R27" s="288">
        <v>0</v>
      </c>
      <c r="U27" s="8" t="s">
        <v>392</v>
      </c>
      <c r="V27" s="10" t="s">
        <v>393</v>
      </c>
      <c r="W27" s="16"/>
      <c r="Z27" s="19"/>
      <c r="AA27" s="15">
        <v>2776</v>
      </c>
      <c r="AF27" s="16">
        <v>12</v>
      </c>
      <c r="AL27" s="478">
        <v>12</v>
      </c>
      <c r="AM27"/>
      <c r="AN27"/>
      <c r="AO27">
        <f t="shared" si="0"/>
        <v>1</v>
      </c>
      <c r="AP27" t="str" cm="1">
        <f t="array" ref="AP27">INDEX($AB$5:$AK$5,1,_xlfn.XMATCH(LARGE($AB27:$AK27,AQ$5),$AB27:$AK27))</f>
        <v>SEMH</v>
      </c>
      <c r="AQ27" s="10" cm="1">
        <f t="array" ref="AQ27">INDEX($AB27:$AK27,1,_xlfn.XMATCH(AP27,$AB$5:$AK$5))</f>
        <v>12</v>
      </c>
      <c r="AR27" t="str" cm="1">
        <f t="array" ref="AR27">IF($AO27&gt;=AS$5,INDEX($AB$5:$AK$5,1,_xlfn.XMATCH(LARGE($AB27:$AK27,AS$5),$AB27:$AK27)),"")</f>
        <v/>
      </c>
      <c r="AS27" s="10" cm="1">
        <f t="array" ref="AS27">IF($AO27&gt;=AS$5,INDEX($AB27:$AK27,1,_xlfn.XMATCH(AR27,$AB$5:$AK$5)),0)</f>
        <v>0</v>
      </c>
      <c r="AT27" t="str" cm="1">
        <f t="array" ref="AT27">IF($AO27&gt;=AU$5,INDEX($AB$5:$AK$5,1,_xlfn.XMATCH(LARGE($AB27:$AK27,AU$5),$AB27:$AK27)),"")</f>
        <v/>
      </c>
      <c r="AU27" s="10" cm="1">
        <f t="array" ref="AU27">IF($AO27&gt;=AU$5,INDEX($AB27:$AK27,1,_xlfn.XMATCH(AT27,$AB$5:$AK$5)),0)</f>
        <v>0</v>
      </c>
      <c r="AV27" s="10">
        <f t="shared" si="1"/>
        <v>0</v>
      </c>
    </row>
    <row r="28" spans="1:48">
      <c r="A28" s="282">
        <v>2005</v>
      </c>
      <c r="B28" s="194"/>
      <c r="C28" s="282"/>
      <c r="D28" s="282"/>
      <c r="E28" s="282"/>
      <c r="F28" s="283"/>
      <c r="G28" s="282">
        <v>1</v>
      </c>
      <c r="H28" s="282">
        <v>2</v>
      </c>
      <c r="I28" s="282">
        <v>850</v>
      </c>
      <c r="J28" s="282" t="s">
        <v>390</v>
      </c>
      <c r="K28" s="282" t="s">
        <v>391</v>
      </c>
      <c r="L28" s="286">
        <v>45170</v>
      </c>
      <c r="M28" s="281"/>
      <c r="N28" s="287" t="s">
        <v>213</v>
      </c>
      <c r="O28" s="466">
        <v>0</v>
      </c>
      <c r="P28" s="285">
        <v>45901</v>
      </c>
      <c r="Q28" s="285">
        <v>46022</v>
      </c>
      <c r="R28" s="288">
        <v>1</v>
      </c>
      <c r="U28" t="s">
        <v>394</v>
      </c>
      <c r="V28" s="16" t="s">
        <v>215</v>
      </c>
      <c r="W28" s="16" t="s">
        <v>214</v>
      </c>
      <c r="X28" s="18" t="s">
        <v>330</v>
      </c>
      <c r="Z28" s="19"/>
      <c r="AA28" s="15">
        <v>2777</v>
      </c>
      <c r="AG28" s="16">
        <v>4</v>
      </c>
      <c r="AK28" s="16">
        <v>23</v>
      </c>
      <c r="AL28" s="478">
        <v>27</v>
      </c>
      <c r="AM28"/>
      <c r="AN28"/>
      <c r="AO28">
        <f t="shared" si="0"/>
        <v>2</v>
      </c>
      <c r="AP28" t="str" cm="1">
        <f t="array" ref="AP28">INDEX($AB$5:$AK$5,1,_xlfn.XMATCH(LARGE($AB28:$AK28,AQ$5),$AB28:$AK28))</f>
        <v>ASC</v>
      </c>
      <c r="AQ28" s="10" cm="1">
        <f t="array" ref="AQ28">INDEX($AB28:$AK28,1,_xlfn.XMATCH(AP28,$AB$5:$AK$5))</f>
        <v>23</v>
      </c>
      <c r="AR28" t="str" cm="1">
        <f t="array" ref="AR28">IF($AO28&gt;=AS$5,INDEX($AB$5:$AK$5,1,_xlfn.XMATCH(LARGE($AB28:$AK28,AS$5),$AB28:$AK28)),"")</f>
        <v>SLCN</v>
      </c>
      <c r="AS28" s="10" cm="1">
        <f t="array" ref="AS28">IF($AO28&gt;=AS$5,INDEX($AB28:$AK28,1,_xlfn.XMATCH(AR28,$AB$5:$AK$5)),0)</f>
        <v>4</v>
      </c>
      <c r="AT28" t="str" cm="1">
        <f t="array" ref="AT28">IF($AO28&gt;=AU$5,INDEX($AB$5:$AK$5,1,_xlfn.XMATCH(LARGE($AB28:$AK28,AU$5),$AB28:$AK28)),"")</f>
        <v/>
      </c>
      <c r="AU28" s="10" cm="1">
        <f t="array" ref="AU28">IF($AO28&gt;=AU$5,INDEX($AB28:$AK28,1,_xlfn.XMATCH(AT28,$AB$5:$AK$5)),0)</f>
        <v>0</v>
      </c>
      <c r="AV28" s="10">
        <f t="shared" si="1"/>
        <v>0</v>
      </c>
    </row>
    <row r="29" spans="1:48">
      <c r="A29" s="282">
        <v>2005</v>
      </c>
      <c r="B29" s="194"/>
      <c r="C29" s="282"/>
      <c r="D29" s="282"/>
      <c r="E29" s="282"/>
      <c r="F29" s="283"/>
      <c r="G29" s="282">
        <v>1</v>
      </c>
      <c r="H29" s="282">
        <v>2</v>
      </c>
      <c r="I29" s="282">
        <v>850</v>
      </c>
      <c r="J29" s="282" t="s">
        <v>390</v>
      </c>
      <c r="K29" s="282" t="s">
        <v>391</v>
      </c>
      <c r="L29" s="286">
        <v>45170</v>
      </c>
      <c r="M29" s="281"/>
      <c r="N29" s="287" t="s">
        <v>213</v>
      </c>
      <c r="O29" s="466">
        <v>0</v>
      </c>
      <c r="P29" s="285">
        <v>45901</v>
      </c>
      <c r="Q29" s="285">
        <v>46022</v>
      </c>
      <c r="R29" s="288">
        <v>1</v>
      </c>
      <c r="U29" s="15">
        <v>2347</v>
      </c>
      <c r="V29" s="16"/>
      <c r="W29" s="16">
        <v>6</v>
      </c>
      <c r="X29" s="478">
        <v>6</v>
      </c>
      <c r="Z29" s="19"/>
      <c r="AA29" s="15">
        <v>3101</v>
      </c>
      <c r="AB29" s="16">
        <v>9</v>
      </c>
      <c r="AL29" s="478">
        <v>9</v>
      </c>
      <c r="AM29"/>
      <c r="AN29"/>
      <c r="AO29">
        <f t="shared" si="0"/>
        <v>1</v>
      </c>
      <c r="AP29" t="str" cm="1">
        <f t="array" ref="AP29">INDEX($AB$5:$AK$5,1,_xlfn.XMATCH(LARGE($AB29:$AK29,AQ$5),$AB29:$AK29))</f>
        <v>HI</v>
      </c>
      <c r="AQ29" s="10" cm="1">
        <f t="array" ref="AQ29">INDEX($AB29:$AK29,1,_xlfn.XMATCH(AP29,$AB$5:$AK$5))</f>
        <v>9</v>
      </c>
      <c r="AR29" t="str" cm="1">
        <f t="array" ref="AR29">IF($AO29&gt;=AS$5,INDEX($AB$5:$AK$5,1,_xlfn.XMATCH(LARGE($AB29:$AK29,AS$5),$AB29:$AK29)),"")</f>
        <v/>
      </c>
      <c r="AS29" s="10" cm="1">
        <f t="array" ref="AS29">IF($AO29&gt;=AS$5,INDEX($AB29:$AK29,1,_xlfn.XMATCH(AR29,$AB$5:$AK$5)),0)</f>
        <v>0</v>
      </c>
      <c r="AT29" t="str" cm="1">
        <f t="array" ref="AT29">IF($AO29&gt;=AU$5,INDEX($AB$5:$AK$5,1,_xlfn.XMATCH(LARGE($AB29:$AK29,AU$5),$AB29:$AK29)),"")</f>
        <v/>
      </c>
      <c r="AU29" s="10" cm="1">
        <f t="array" ref="AU29">IF($AO29&gt;=AU$5,INDEX($AB29:$AK29,1,_xlfn.XMATCH(AT29,$AB$5:$AK$5)),0)</f>
        <v>0</v>
      </c>
      <c r="AV29" s="10">
        <f t="shared" si="1"/>
        <v>0</v>
      </c>
    </row>
    <row r="30" spans="1:48">
      <c r="A30" s="282">
        <v>2005</v>
      </c>
      <c r="B30" s="194"/>
      <c r="C30" s="282"/>
      <c r="D30" s="282"/>
      <c r="E30" s="282"/>
      <c r="F30" s="283"/>
      <c r="G30" s="282">
        <v>1</v>
      </c>
      <c r="H30" s="282">
        <v>2</v>
      </c>
      <c r="I30" s="282">
        <v>850</v>
      </c>
      <c r="J30" s="282" t="s">
        <v>390</v>
      </c>
      <c r="K30" s="282" t="s">
        <v>391</v>
      </c>
      <c r="L30" s="283">
        <v>45536</v>
      </c>
      <c r="M30" s="284"/>
      <c r="N30" s="195" t="s">
        <v>213</v>
      </c>
      <c r="O30" s="466">
        <v>0</v>
      </c>
      <c r="P30" s="285">
        <v>45901</v>
      </c>
      <c r="Q30" s="285">
        <v>46022</v>
      </c>
      <c r="R30" s="288">
        <v>1</v>
      </c>
      <c r="U30" s="15">
        <v>2520</v>
      </c>
      <c r="V30" s="16">
        <v>3</v>
      </c>
      <c r="W30" s="16"/>
      <c r="X30" s="478">
        <v>3</v>
      </c>
      <c r="Z30" s="19"/>
      <c r="AA30" s="15">
        <v>3124</v>
      </c>
      <c r="AF30" s="16">
        <v>12</v>
      </c>
      <c r="AL30" s="478">
        <v>12</v>
      </c>
      <c r="AM30"/>
      <c r="AN30"/>
      <c r="AO30">
        <f t="shared" si="0"/>
        <v>1</v>
      </c>
      <c r="AP30" t="str" cm="1">
        <f t="array" ref="AP30">INDEX($AB$5:$AK$5,1,_xlfn.XMATCH(LARGE($AB30:$AK30,AQ$5),$AB30:$AK30))</f>
        <v>SEMH</v>
      </c>
      <c r="AQ30" s="10" cm="1">
        <f t="array" ref="AQ30">INDEX($AB30:$AK30,1,_xlfn.XMATCH(AP30,$AB$5:$AK$5))</f>
        <v>12</v>
      </c>
      <c r="AR30" t="str" cm="1">
        <f t="array" ref="AR30">IF($AO30&gt;=AS$5,INDEX($AB$5:$AK$5,1,_xlfn.XMATCH(LARGE($AB30:$AK30,AS$5),$AB30:$AK30)),"")</f>
        <v/>
      </c>
      <c r="AS30" s="10" cm="1">
        <f t="array" ref="AS30">IF($AO30&gt;=AS$5,INDEX($AB30:$AK30,1,_xlfn.XMATCH(AR30,$AB$5:$AK$5)),0)</f>
        <v>0</v>
      </c>
      <c r="AT30" t="str" cm="1">
        <f t="array" ref="AT30">IF($AO30&gt;=AU$5,INDEX($AB$5:$AK$5,1,_xlfn.XMATCH(LARGE($AB30:$AK30,AU$5),$AB30:$AK30)),"")</f>
        <v/>
      </c>
      <c r="AU30" s="10" cm="1">
        <f t="array" ref="AU30">IF($AO30&gt;=AU$5,INDEX($AB30:$AK30,1,_xlfn.XMATCH(AT30,$AB$5:$AK$5)),0)</f>
        <v>0</v>
      </c>
      <c r="AV30" s="10">
        <f t="shared" si="1"/>
        <v>0</v>
      </c>
    </row>
    <row r="31" spans="1:48">
      <c r="A31" s="282">
        <v>2005</v>
      </c>
      <c r="B31" s="194"/>
      <c r="C31" s="282"/>
      <c r="D31" s="282"/>
      <c r="E31" s="282"/>
      <c r="F31" s="283"/>
      <c r="G31" s="282">
        <v>1</v>
      </c>
      <c r="H31" s="282">
        <v>2</v>
      </c>
      <c r="I31" s="282">
        <v>850</v>
      </c>
      <c r="J31" s="282" t="s">
        <v>390</v>
      </c>
      <c r="K31" s="282" t="s">
        <v>391</v>
      </c>
      <c r="L31" s="283">
        <v>45170</v>
      </c>
      <c r="M31" s="284"/>
      <c r="N31" s="195" t="s">
        <v>213</v>
      </c>
      <c r="O31" s="466">
        <v>0</v>
      </c>
      <c r="P31" s="285">
        <v>45901</v>
      </c>
      <c r="Q31" s="285">
        <v>46022</v>
      </c>
      <c r="R31" s="288">
        <v>1</v>
      </c>
      <c r="U31" s="15">
        <v>2732</v>
      </c>
      <c r="V31" s="16">
        <v>2</v>
      </c>
      <c r="W31" s="16"/>
      <c r="X31" s="478">
        <v>2</v>
      </c>
      <c r="Z31" s="19"/>
      <c r="AA31" s="15">
        <v>3665</v>
      </c>
      <c r="AF31" s="16">
        <v>7</v>
      </c>
      <c r="AL31" s="478">
        <v>7</v>
      </c>
      <c r="AM31"/>
      <c r="AN31"/>
      <c r="AO31">
        <f t="shared" si="0"/>
        <v>1</v>
      </c>
      <c r="AP31" t="str" cm="1">
        <f t="array" ref="AP31">INDEX($AB$5:$AK$5,1,_xlfn.XMATCH(LARGE($AB31:$AK31,AQ$5),$AB31:$AK31))</f>
        <v>SEMH</v>
      </c>
      <c r="AQ31" s="10" cm="1">
        <f t="array" ref="AQ31">INDEX($AB31:$AK31,1,_xlfn.XMATCH(AP31,$AB$5:$AK$5))</f>
        <v>7</v>
      </c>
      <c r="AR31" t="str" cm="1">
        <f t="array" ref="AR31">IF($AO31&gt;=AS$5,INDEX($AB$5:$AK$5,1,_xlfn.XMATCH(LARGE($AB31:$AK31,AS$5),$AB31:$AK31)),"")</f>
        <v/>
      </c>
      <c r="AS31" s="10" cm="1">
        <f t="array" ref="AS31">IF($AO31&gt;=AS$5,INDEX($AB31:$AK31,1,_xlfn.XMATCH(AR31,$AB$5:$AK$5)),0)</f>
        <v>0</v>
      </c>
      <c r="AT31" t="str" cm="1">
        <f t="array" ref="AT31">IF($AO31&gt;=AU$5,INDEX($AB$5:$AK$5,1,_xlfn.XMATCH(LARGE($AB31:$AK31,AU$5),$AB31:$AK31)),"")</f>
        <v/>
      </c>
      <c r="AU31" s="10" cm="1">
        <f t="array" ref="AU31">IF($AO31&gt;=AU$5,INDEX($AB31:$AK31,1,_xlfn.XMATCH(AT31,$AB$5:$AK$5)),0)</f>
        <v>0</v>
      </c>
      <c r="AV31" s="10">
        <f t="shared" si="1"/>
        <v>0</v>
      </c>
    </row>
    <row r="32" spans="1:48">
      <c r="A32" s="282">
        <v>2005</v>
      </c>
      <c r="B32" s="194"/>
      <c r="C32" s="282"/>
      <c r="D32" s="282"/>
      <c r="E32" s="282"/>
      <c r="F32" s="283"/>
      <c r="G32" s="282">
        <v>1</v>
      </c>
      <c r="H32" s="282">
        <v>2</v>
      </c>
      <c r="I32" s="282">
        <v>850</v>
      </c>
      <c r="J32" s="282" t="s">
        <v>390</v>
      </c>
      <c r="K32" s="282" t="s">
        <v>391</v>
      </c>
      <c r="L32" s="283">
        <v>45170</v>
      </c>
      <c r="M32" s="284"/>
      <c r="N32" s="195" t="s">
        <v>213</v>
      </c>
      <c r="O32" s="466">
        <v>0</v>
      </c>
      <c r="P32" s="285">
        <v>45901</v>
      </c>
      <c r="Q32" s="285">
        <v>46022</v>
      </c>
      <c r="R32" s="288">
        <v>1</v>
      </c>
      <c r="U32" s="15">
        <v>3101</v>
      </c>
      <c r="V32" s="16">
        <v>8</v>
      </c>
      <c r="W32" s="16"/>
      <c r="X32" s="478">
        <v>8</v>
      </c>
      <c r="Z32" s="19"/>
      <c r="AA32" s="15">
        <v>4000</v>
      </c>
      <c r="AI32" s="16">
        <v>1</v>
      </c>
      <c r="AL32" s="478">
        <v>1</v>
      </c>
      <c r="AM32"/>
      <c r="AN32"/>
      <c r="AO32">
        <f t="shared" si="0"/>
        <v>1</v>
      </c>
      <c r="AP32" t="str" cm="1">
        <f t="array" ref="AP32">INDEX($AB$5:$AK$5,1,_xlfn.XMATCH(LARGE($AB32:$AK32,AQ$5),$AB32:$AK32))</f>
        <v>SpLD</v>
      </c>
      <c r="AQ32" s="10" cm="1">
        <f t="array" ref="AQ32">INDEX($AB32:$AK32,1,_xlfn.XMATCH(AP32,$AB$5:$AK$5))</f>
        <v>1</v>
      </c>
      <c r="AR32" t="str" cm="1">
        <f t="array" ref="AR32">IF($AO32&gt;=AS$5,INDEX($AB$5:$AK$5,1,_xlfn.XMATCH(LARGE($AB32:$AK32,AS$5),$AB32:$AK32)),"")</f>
        <v/>
      </c>
      <c r="AS32" s="10" cm="1">
        <f t="array" ref="AS32">IF($AO32&gt;=AS$5,INDEX($AB32:$AK32,1,_xlfn.XMATCH(AR32,$AB$5:$AK$5)),0)</f>
        <v>0</v>
      </c>
      <c r="AT32" t="str" cm="1">
        <f t="array" ref="AT32">IF($AO32&gt;=AU$5,INDEX($AB$5:$AK$5,1,_xlfn.XMATCH(LARGE($AB32:$AK32,AU$5),$AB32:$AK32)),"")</f>
        <v/>
      </c>
      <c r="AU32" s="10" cm="1">
        <f t="array" ref="AU32">IF($AO32&gt;=AU$5,INDEX($AB32:$AK32,1,_xlfn.XMATCH(AT32,$AB$5:$AK$5)),0)</f>
        <v>0</v>
      </c>
      <c r="AV32" s="10">
        <f t="shared" si="1"/>
        <v>0</v>
      </c>
    </row>
    <row r="33" spans="1:48">
      <c r="A33" s="282">
        <v>2005</v>
      </c>
      <c r="B33" s="194"/>
      <c r="C33" s="282"/>
      <c r="D33" s="282"/>
      <c r="E33" s="282"/>
      <c r="F33" s="283"/>
      <c r="G33" s="282">
        <v>0</v>
      </c>
      <c r="H33" s="282">
        <v>1</v>
      </c>
      <c r="I33" s="282">
        <v>850</v>
      </c>
      <c r="J33" s="282" t="s">
        <v>390</v>
      </c>
      <c r="K33" s="282" t="s">
        <v>391</v>
      </c>
      <c r="L33" s="283">
        <v>45536</v>
      </c>
      <c r="M33" s="284"/>
      <c r="N33" s="195" t="s">
        <v>213</v>
      </c>
      <c r="O33" s="466">
        <v>0</v>
      </c>
      <c r="P33" s="285">
        <v>45901</v>
      </c>
      <c r="Q33" s="285">
        <v>46022</v>
      </c>
      <c r="R33" s="288">
        <v>1</v>
      </c>
      <c r="U33" s="15">
        <v>4113</v>
      </c>
      <c r="V33" s="16"/>
      <c r="W33" s="16">
        <v>1</v>
      </c>
      <c r="X33" s="478">
        <v>1</v>
      </c>
      <c r="Z33" s="19"/>
      <c r="AA33" s="15">
        <v>4007</v>
      </c>
      <c r="AC33" s="16">
        <v>3</v>
      </c>
      <c r="AL33" s="478">
        <v>3</v>
      </c>
      <c r="AM33"/>
      <c r="AN33"/>
      <c r="AO33">
        <f t="shared" si="0"/>
        <v>1</v>
      </c>
      <c r="AP33" t="str" cm="1">
        <f t="array" ref="AP33">INDEX($AB$5:$AK$5,1,_xlfn.XMATCH(LARGE($AB33:$AK33,AQ$5),$AB33:$AK33))</f>
        <v>MLD</v>
      </c>
      <c r="AQ33" s="10" cm="1">
        <f t="array" ref="AQ33">INDEX($AB33:$AK33,1,_xlfn.XMATCH(AP33,$AB$5:$AK$5))</f>
        <v>3</v>
      </c>
      <c r="AR33" t="str" cm="1">
        <f t="array" ref="AR33">IF($AO33&gt;=AS$5,INDEX($AB$5:$AK$5,1,_xlfn.XMATCH(LARGE($AB33:$AK33,AS$5),$AB33:$AK33)),"")</f>
        <v/>
      </c>
      <c r="AS33" s="10" cm="1">
        <f t="array" ref="AS33">IF($AO33&gt;=AS$5,INDEX($AB33:$AK33,1,_xlfn.XMATCH(AR33,$AB$5:$AK$5)),0)</f>
        <v>0</v>
      </c>
      <c r="AT33" t="str" cm="1">
        <f t="array" ref="AT33">IF($AO33&gt;=AU$5,INDEX($AB$5:$AK$5,1,_xlfn.XMATCH(LARGE($AB33:$AK33,AU$5),$AB33:$AK33)),"")</f>
        <v/>
      </c>
      <c r="AU33" s="10" cm="1">
        <f t="array" ref="AU33">IF($AO33&gt;=AU$5,INDEX($AB33:$AK33,1,_xlfn.XMATCH(AT33,$AB$5:$AK$5)),0)</f>
        <v>0</v>
      </c>
      <c r="AV33" s="10">
        <f t="shared" si="1"/>
        <v>0</v>
      </c>
    </row>
    <row r="34" spans="1:48">
      <c r="A34" s="193">
        <v>2005</v>
      </c>
      <c r="B34" s="194"/>
      <c r="C34" s="193"/>
      <c r="D34" s="193"/>
      <c r="E34" s="193"/>
      <c r="F34" s="283"/>
      <c r="G34" s="282">
        <v>0</v>
      </c>
      <c r="H34" s="282">
        <v>1</v>
      </c>
      <c r="I34" s="193">
        <v>850</v>
      </c>
      <c r="J34" s="193" t="s">
        <v>390</v>
      </c>
      <c r="K34" s="193" t="s">
        <v>391</v>
      </c>
      <c r="L34" s="283">
        <v>45901</v>
      </c>
      <c r="M34" s="281"/>
      <c r="N34" s="195" t="s">
        <v>213</v>
      </c>
      <c r="O34" s="466">
        <v>0</v>
      </c>
      <c r="P34" s="285">
        <v>45901</v>
      </c>
      <c r="Q34" s="285">
        <v>46022</v>
      </c>
      <c r="R34" s="288">
        <v>1</v>
      </c>
      <c r="U34" s="15">
        <v>4203</v>
      </c>
      <c r="V34" s="16">
        <v>1</v>
      </c>
      <c r="W34" s="16"/>
      <c r="X34" s="478">
        <v>1</v>
      </c>
      <c r="Z34" s="19"/>
      <c r="AA34" s="15">
        <v>4110</v>
      </c>
      <c r="AI34" s="16">
        <v>2</v>
      </c>
      <c r="AK34" s="16">
        <v>11</v>
      </c>
      <c r="AL34" s="478">
        <v>13</v>
      </c>
      <c r="AM34"/>
      <c r="AN34"/>
      <c r="AO34">
        <f t="shared" si="0"/>
        <v>2</v>
      </c>
      <c r="AP34" t="str" cm="1">
        <f t="array" ref="AP34">INDEX($AB$5:$AK$5,1,_xlfn.XMATCH(LARGE($AB34:$AK34,AQ$5),$AB34:$AK34))</f>
        <v>ASC</v>
      </c>
      <c r="AQ34" s="10" cm="1">
        <f t="array" ref="AQ34">INDEX($AB34:$AK34,1,_xlfn.XMATCH(AP34,$AB$5:$AK$5))</f>
        <v>11</v>
      </c>
      <c r="AR34" t="str" cm="1">
        <f t="array" ref="AR34">IF($AO34&gt;=AS$5,INDEX($AB$5:$AK$5,1,_xlfn.XMATCH(LARGE($AB34:$AK34,AS$5),$AB34:$AK34)),"")</f>
        <v>SpLD</v>
      </c>
      <c r="AS34" s="10" cm="1">
        <f t="array" ref="AS34">IF($AO34&gt;=AS$5,INDEX($AB34:$AK34,1,_xlfn.XMATCH(AR34,$AB$5:$AK$5)),0)</f>
        <v>2</v>
      </c>
      <c r="AT34" t="str" cm="1">
        <f t="array" ref="AT34">IF($AO34&gt;=AU$5,INDEX($AB$5:$AK$5,1,_xlfn.XMATCH(LARGE($AB34:$AK34,AU$5),$AB34:$AK34)),"")</f>
        <v/>
      </c>
      <c r="AU34" s="10" cm="1">
        <f t="array" ref="AU34">IF($AO34&gt;=AU$5,INDEX($AB34:$AK34,1,_xlfn.XMATCH(AT34,$AB$5:$AK$5)),0)</f>
        <v>0</v>
      </c>
      <c r="AV34" s="10">
        <f t="shared" si="1"/>
        <v>0</v>
      </c>
    </row>
    <row r="35" spans="1:48">
      <c r="A35" s="193">
        <v>2005</v>
      </c>
      <c r="B35" s="194"/>
      <c r="C35" s="193"/>
      <c r="D35" s="193"/>
      <c r="E35" s="193"/>
      <c r="F35" s="283"/>
      <c r="G35" s="282">
        <v>1</v>
      </c>
      <c r="H35" s="282">
        <v>2</v>
      </c>
      <c r="I35" s="193">
        <v>850</v>
      </c>
      <c r="J35" s="193" t="s">
        <v>390</v>
      </c>
      <c r="K35" s="193" t="s">
        <v>391</v>
      </c>
      <c r="L35" s="283">
        <v>45170</v>
      </c>
      <c r="M35" s="281"/>
      <c r="N35" s="195" t="s">
        <v>213</v>
      </c>
      <c r="O35" s="466">
        <v>0</v>
      </c>
      <c r="P35" s="285">
        <v>45901</v>
      </c>
      <c r="Q35" s="285">
        <v>46022</v>
      </c>
      <c r="R35" s="288">
        <v>1</v>
      </c>
      <c r="U35" s="15">
        <v>3404</v>
      </c>
      <c r="V35" s="16">
        <v>4</v>
      </c>
      <c r="W35" s="16"/>
      <c r="X35" s="478">
        <v>4</v>
      </c>
      <c r="Z35" s="19"/>
      <c r="AA35" s="15">
        <v>4113</v>
      </c>
      <c r="AJ35" s="16">
        <v>17</v>
      </c>
      <c r="AL35" s="478">
        <v>17</v>
      </c>
      <c r="AM35"/>
      <c r="AN35"/>
      <c r="AO35">
        <f t="shared" si="0"/>
        <v>1</v>
      </c>
      <c r="AP35" t="str" cm="1">
        <f t="array" ref="AP35">INDEX($AB$5:$AK$5,1,_xlfn.XMATCH(LARGE($AB35:$AK35,AQ$5),$AB35:$AK35))</f>
        <v>VI</v>
      </c>
      <c r="AQ35" s="10" cm="1">
        <f t="array" ref="AQ35">INDEX($AB35:$AK35,1,_xlfn.XMATCH(AP35,$AB$5:$AK$5))</f>
        <v>17</v>
      </c>
      <c r="AR35" t="str" cm="1">
        <f t="array" ref="AR35">IF($AO35&gt;=AS$5,INDEX($AB$5:$AK$5,1,_xlfn.XMATCH(LARGE($AB35:$AK35,AS$5),$AB35:$AK35)),"")</f>
        <v/>
      </c>
      <c r="AS35" s="10" cm="1">
        <f t="array" ref="AS35">IF($AO35&gt;=AS$5,INDEX($AB35:$AK35,1,_xlfn.XMATCH(AR35,$AB$5:$AK$5)),0)</f>
        <v>0</v>
      </c>
      <c r="AT35" t="str" cm="1">
        <f t="array" ref="AT35">IF($AO35&gt;=AU$5,INDEX($AB$5:$AK$5,1,_xlfn.XMATCH(LARGE($AB35:$AK35,AU$5),$AB35:$AK35)),"")</f>
        <v/>
      </c>
      <c r="AU35" s="10" cm="1">
        <f t="array" ref="AU35">IF($AO35&gt;=AU$5,INDEX($AB35:$AK35,1,_xlfn.XMATCH(AT35,$AB$5:$AK$5)),0)</f>
        <v>0</v>
      </c>
      <c r="AV35" s="10">
        <f t="shared" si="1"/>
        <v>0</v>
      </c>
    </row>
    <row r="36" spans="1:48">
      <c r="A36" s="282">
        <v>2005</v>
      </c>
      <c r="B36" s="194"/>
      <c r="C36" s="282"/>
      <c r="D36" s="282"/>
      <c r="E36" s="282"/>
      <c r="F36" s="283"/>
      <c r="G36" s="282">
        <v>0</v>
      </c>
      <c r="H36" s="282">
        <v>1</v>
      </c>
      <c r="I36" s="282">
        <v>850</v>
      </c>
      <c r="J36" s="282" t="s">
        <v>390</v>
      </c>
      <c r="K36" s="282" t="s">
        <v>391</v>
      </c>
      <c r="L36" s="283">
        <v>45536</v>
      </c>
      <c r="M36" s="281"/>
      <c r="N36" s="287" t="s">
        <v>213</v>
      </c>
      <c r="O36" s="466">
        <v>0</v>
      </c>
      <c r="P36" s="285">
        <v>45901</v>
      </c>
      <c r="Q36" s="285">
        <v>46022</v>
      </c>
      <c r="R36" s="288">
        <v>1</v>
      </c>
      <c r="U36" s="15" t="s">
        <v>330</v>
      </c>
      <c r="V36" s="16">
        <v>18</v>
      </c>
      <c r="W36" s="16">
        <v>7</v>
      </c>
      <c r="X36" s="478">
        <v>25</v>
      </c>
      <c r="Z36" s="19"/>
      <c r="AA36" s="15">
        <v>4128</v>
      </c>
      <c r="AE36" s="16">
        <v>2</v>
      </c>
      <c r="AF36" s="16">
        <v>13</v>
      </c>
      <c r="AL36" s="478">
        <v>15</v>
      </c>
      <c r="AM36"/>
      <c r="AN36"/>
      <c r="AO36">
        <f t="shared" si="0"/>
        <v>2</v>
      </c>
      <c r="AP36" t="str" cm="1">
        <f t="array" ref="AP36">INDEX($AB$5:$AK$5,1,_xlfn.XMATCH(LARGE($AB36:$AK36,AQ$5),$AB36:$AK36))</f>
        <v>SEMH</v>
      </c>
      <c r="AQ36" s="10" cm="1">
        <f t="array" ref="AQ36">INDEX($AB36:$AK36,1,_xlfn.XMATCH(AP36,$AB$5:$AK$5))</f>
        <v>13</v>
      </c>
      <c r="AR36" t="str" cm="1">
        <f t="array" ref="AR36">IF($AO36&gt;=AS$5,INDEX($AB$5:$AK$5,1,_xlfn.XMATCH(LARGE($AB36:$AK36,AS$5),$AB36:$AK36)),"")</f>
        <v>PD - S</v>
      </c>
      <c r="AS36" s="10" cm="1">
        <f t="array" ref="AS36">IF($AO36&gt;=AS$5,INDEX($AB36:$AK36,1,_xlfn.XMATCH(AR36,$AB$5:$AK$5)),0)</f>
        <v>2</v>
      </c>
      <c r="AT36" t="str" cm="1">
        <f t="array" ref="AT36">IF($AO36&gt;=AU$5,INDEX($AB$5:$AK$5,1,_xlfn.XMATCH(LARGE($AB36:$AK36,AU$5),$AB36:$AK36)),"")</f>
        <v/>
      </c>
      <c r="AU36" s="10" cm="1">
        <f t="array" ref="AU36">IF($AO36&gt;=AU$5,INDEX($AB36:$AK36,1,_xlfn.XMATCH(AT36,$AB$5:$AK$5)),0)</f>
        <v>0</v>
      </c>
      <c r="AV36" s="10">
        <f t="shared" si="1"/>
        <v>0</v>
      </c>
    </row>
    <row r="37" spans="1:48">
      <c r="A37" s="282">
        <v>2005</v>
      </c>
      <c r="B37" s="194"/>
      <c r="C37" s="282"/>
      <c r="D37" s="282"/>
      <c r="E37" s="282"/>
      <c r="F37" s="283"/>
      <c r="G37" s="282">
        <v>1</v>
      </c>
      <c r="H37" s="282">
        <v>2</v>
      </c>
      <c r="I37" s="282">
        <v>850</v>
      </c>
      <c r="J37" s="282" t="s">
        <v>390</v>
      </c>
      <c r="K37" s="282" t="s">
        <v>391</v>
      </c>
      <c r="L37" s="283">
        <v>45170</v>
      </c>
      <c r="M37" s="281"/>
      <c r="N37" s="287" t="s">
        <v>213</v>
      </c>
      <c r="O37" s="466">
        <v>0</v>
      </c>
      <c r="P37" s="285">
        <v>45901</v>
      </c>
      <c r="Q37" s="285">
        <v>46022</v>
      </c>
      <c r="R37" s="288">
        <v>1</v>
      </c>
      <c r="V37"/>
      <c r="W37"/>
      <c r="X37"/>
      <c r="Z37" s="19"/>
      <c r="AA37" s="15">
        <v>4133</v>
      </c>
      <c r="AD37" s="16">
        <v>9</v>
      </c>
      <c r="AL37" s="478">
        <v>9</v>
      </c>
      <c r="AM37"/>
      <c r="AN37"/>
      <c r="AO37">
        <f t="shared" si="0"/>
        <v>1</v>
      </c>
      <c r="AP37" t="str" cm="1">
        <f t="array" ref="AP37">INDEX($AB$5:$AK$5,1,_xlfn.XMATCH(LARGE($AB37:$AK37,AQ$5),$AB37:$AK37))</f>
        <v>PD - L</v>
      </c>
      <c r="AQ37" s="10" cm="1">
        <f t="array" ref="AQ37">INDEX($AB37:$AK37,1,_xlfn.XMATCH(AP37,$AB$5:$AK$5))</f>
        <v>9</v>
      </c>
      <c r="AR37" t="str" cm="1">
        <f t="array" ref="AR37">IF($AO37&gt;=AS$5,INDEX($AB$5:$AK$5,1,_xlfn.XMATCH(LARGE($AB37:$AK37,AS$5),$AB37:$AK37)),"")</f>
        <v/>
      </c>
      <c r="AS37" s="10" cm="1">
        <f t="array" ref="AS37">IF($AO37&gt;=AS$5,INDEX($AB37:$AK37,1,_xlfn.XMATCH(AR37,$AB$5:$AK$5)),0)</f>
        <v>0</v>
      </c>
      <c r="AT37" t="str" cm="1">
        <f t="array" ref="AT37">IF($AO37&gt;=AU$5,INDEX($AB$5:$AK$5,1,_xlfn.XMATCH(LARGE($AB37:$AK37,AU$5),$AB37:$AK37)),"")</f>
        <v/>
      </c>
      <c r="AU37" s="10" cm="1">
        <f t="array" ref="AU37">IF($AO37&gt;=AU$5,INDEX($AB37:$AK37,1,_xlfn.XMATCH(AT37,$AB$5:$AK$5)),0)</f>
        <v>0</v>
      </c>
      <c r="AV37" s="10">
        <f t="shared" si="1"/>
        <v>0</v>
      </c>
    </row>
    <row r="38" spans="1:48">
      <c r="A38" s="282">
        <v>2005</v>
      </c>
      <c r="B38" s="194"/>
      <c r="C38" s="282"/>
      <c r="D38" s="282"/>
      <c r="E38" s="282"/>
      <c r="F38" s="283"/>
      <c r="G38" s="282">
        <v>0</v>
      </c>
      <c r="H38" s="282">
        <v>1</v>
      </c>
      <c r="I38" s="282">
        <v>850</v>
      </c>
      <c r="J38" s="282" t="s">
        <v>390</v>
      </c>
      <c r="K38" s="193" t="s">
        <v>391</v>
      </c>
      <c r="L38" s="283">
        <v>45536</v>
      </c>
      <c r="M38" s="284"/>
      <c r="N38" s="195" t="s">
        <v>213</v>
      </c>
      <c r="O38" s="466">
        <v>0</v>
      </c>
      <c r="P38" s="285">
        <v>45901</v>
      </c>
      <c r="Q38" s="285">
        <v>46022</v>
      </c>
      <c r="R38" s="288">
        <v>1</v>
      </c>
      <c r="V38"/>
      <c r="W38"/>
      <c r="X38"/>
      <c r="Z38" s="19"/>
      <c r="AA38" s="15">
        <v>4143</v>
      </c>
      <c r="AK38" s="16">
        <v>17</v>
      </c>
      <c r="AL38" s="478">
        <v>17</v>
      </c>
      <c r="AM38"/>
      <c r="AN38"/>
      <c r="AO38">
        <f t="shared" si="0"/>
        <v>1</v>
      </c>
      <c r="AP38" t="str" cm="1">
        <f t="array" ref="AP38">INDEX($AB$5:$AK$5,1,_xlfn.XMATCH(LARGE($AB38:$AK38,AQ$5),$AB38:$AK38))</f>
        <v>ASC</v>
      </c>
      <c r="AQ38" s="10" cm="1">
        <f t="array" ref="AQ38">INDEX($AB38:$AK38,1,_xlfn.XMATCH(AP38,$AB$5:$AK$5))</f>
        <v>17</v>
      </c>
      <c r="AR38" t="str" cm="1">
        <f t="array" ref="AR38">IF($AO38&gt;=AS$5,INDEX($AB$5:$AK$5,1,_xlfn.XMATCH(LARGE($AB38:$AK38,AS$5),$AB38:$AK38)),"")</f>
        <v/>
      </c>
      <c r="AS38" s="10" cm="1">
        <f t="array" ref="AS38">IF($AO38&gt;=AS$5,INDEX($AB38:$AK38,1,_xlfn.XMATCH(AR38,$AB$5:$AK$5)),0)</f>
        <v>0</v>
      </c>
      <c r="AT38" t="str" cm="1">
        <f t="array" ref="AT38">IF($AO38&gt;=AU$5,INDEX($AB$5:$AK$5,1,_xlfn.XMATCH(LARGE($AB38:$AK38,AU$5),$AB38:$AK38)),"")</f>
        <v/>
      </c>
      <c r="AU38" s="10" cm="1">
        <f t="array" ref="AU38">IF($AO38&gt;=AU$5,INDEX($AB38:$AK38,1,_xlfn.XMATCH(AT38,$AB$5:$AK$5)),0)</f>
        <v>0</v>
      </c>
      <c r="AV38" s="10">
        <f t="shared" si="1"/>
        <v>0</v>
      </c>
    </row>
    <row r="39" spans="1:48">
      <c r="A39" s="282">
        <v>2005</v>
      </c>
      <c r="B39" s="194"/>
      <c r="C39" s="282"/>
      <c r="D39" s="282"/>
      <c r="E39" s="282"/>
      <c r="F39" s="283"/>
      <c r="G39" s="282">
        <v>2</v>
      </c>
      <c r="H39" s="282">
        <v>3</v>
      </c>
      <c r="I39" s="282">
        <v>850</v>
      </c>
      <c r="J39" s="282" t="s">
        <v>390</v>
      </c>
      <c r="K39" s="193" t="s">
        <v>391</v>
      </c>
      <c r="L39" s="283">
        <v>44805</v>
      </c>
      <c r="M39" s="284">
        <v>45900</v>
      </c>
      <c r="N39" s="195" t="s">
        <v>213</v>
      </c>
      <c r="O39" s="466">
        <v>0</v>
      </c>
      <c r="P39" s="285" t="s">
        <v>399</v>
      </c>
      <c r="Q39" s="285" t="s">
        <v>399</v>
      </c>
      <c r="R39" s="288">
        <v>0</v>
      </c>
      <c r="V39"/>
      <c r="W39"/>
      <c r="X39"/>
      <c r="Z39" s="19"/>
      <c r="AA39" s="15">
        <v>4164</v>
      </c>
      <c r="AI39" s="16">
        <v>16</v>
      </c>
      <c r="AL39" s="478">
        <v>16</v>
      </c>
      <c r="AM39"/>
      <c r="AN39"/>
      <c r="AO39">
        <f t="shared" si="0"/>
        <v>1</v>
      </c>
      <c r="AP39" t="str" cm="1">
        <f t="array" ref="AP39">INDEX($AB$5:$AK$5,1,_xlfn.XMATCH(LARGE($AB39:$AK39,AQ$5),$AB39:$AK39))</f>
        <v>SpLD</v>
      </c>
      <c r="AQ39" s="10" cm="1">
        <f t="array" ref="AQ39">INDEX($AB39:$AK39,1,_xlfn.XMATCH(AP39,$AB$5:$AK$5))</f>
        <v>16</v>
      </c>
      <c r="AR39" t="str" cm="1">
        <f t="array" ref="AR39">IF($AO39&gt;=AS$5,INDEX($AB$5:$AK$5,1,_xlfn.XMATCH(LARGE($AB39:$AK39,AS$5),$AB39:$AK39)),"")</f>
        <v/>
      </c>
      <c r="AS39" s="10" cm="1">
        <f t="array" ref="AS39">IF($AO39&gt;=AS$5,INDEX($AB39:$AK39,1,_xlfn.XMATCH(AR39,$AB$5:$AK$5)),0)</f>
        <v>0</v>
      </c>
      <c r="AT39" t="str" cm="1">
        <f t="array" ref="AT39">IF($AO39&gt;=AU$5,INDEX($AB$5:$AK$5,1,_xlfn.XMATCH(LARGE($AB39:$AK39,AU$5),$AB39:$AK39)),"")</f>
        <v/>
      </c>
      <c r="AU39" s="10" cm="1">
        <f t="array" ref="AU39">IF($AO39&gt;=AU$5,INDEX($AB39:$AK39,1,_xlfn.XMATCH(AT39,$AB$5:$AK$5)),0)</f>
        <v>0</v>
      </c>
      <c r="AV39" s="10">
        <f t="shared" si="1"/>
        <v>0</v>
      </c>
    </row>
    <row r="40" spans="1:48">
      <c r="A40" s="282">
        <v>2005</v>
      </c>
      <c r="B40" s="194"/>
      <c r="C40" s="479"/>
      <c r="D40" s="479"/>
      <c r="E40" s="479"/>
      <c r="F40" s="480"/>
      <c r="G40" s="479">
        <v>0</v>
      </c>
      <c r="H40" s="282">
        <v>1</v>
      </c>
      <c r="I40" s="282">
        <v>850</v>
      </c>
      <c r="J40" s="282" t="s">
        <v>390</v>
      </c>
      <c r="K40" s="282" t="s">
        <v>391</v>
      </c>
      <c r="L40" s="283">
        <v>45536</v>
      </c>
      <c r="M40" s="284"/>
      <c r="N40" s="195" t="s">
        <v>213</v>
      </c>
      <c r="O40" s="466">
        <v>0</v>
      </c>
      <c r="P40" s="285">
        <v>45901</v>
      </c>
      <c r="Q40" s="285">
        <v>46022</v>
      </c>
      <c r="R40" s="288">
        <v>1</v>
      </c>
      <c r="V40"/>
      <c r="W40"/>
      <c r="X40"/>
      <c r="Z40" s="19"/>
      <c r="AA40" s="15">
        <v>4173</v>
      </c>
      <c r="AK40" s="16">
        <v>17</v>
      </c>
      <c r="AL40" s="478">
        <v>17</v>
      </c>
      <c r="AM40"/>
      <c r="AN40"/>
      <c r="AO40">
        <f t="shared" si="0"/>
        <v>1</v>
      </c>
      <c r="AP40" t="str" cm="1">
        <f t="array" ref="AP40">INDEX($AB$5:$AK$5,1,_xlfn.XMATCH(LARGE($AB40:$AK40,AQ$5),$AB40:$AK40))</f>
        <v>ASC</v>
      </c>
      <c r="AQ40" s="10" cm="1">
        <f t="array" ref="AQ40">INDEX($AB40:$AK40,1,_xlfn.XMATCH(AP40,$AB$5:$AK$5))</f>
        <v>17</v>
      </c>
      <c r="AR40" t="str" cm="1">
        <f t="array" ref="AR40">IF($AO40&gt;=AS$5,INDEX($AB$5:$AK$5,1,_xlfn.XMATCH(LARGE($AB40:$AK40,AS$5),$AB40:$AK40)),"")</f>
        <v/>
      </c>
      <c r="AS40" s="10" cm="1">
        <f t="array" ref="AS40">IF($AO40&gt;=AS$5,INDEX($AB40:$AK40,1,_xlfn.XMATCH(AR40,$AB$5:$AK$5)),0)</f>
        <v>0</v>
      </c>
      <c r="AT40" t="str" cm="1">
        <f t="array" ref="AT40">IF($AO40&gt;=AU$5,INDEX($AB$5:$AK$5,1,_xlfn.XMATCH(LARGE($AB40:$AK40,AU$5),$AB40:$AK40)),"")</f>
        <v/>
      </c>
      <c r="AU40" s="10" cm="1">
        <f t="array" ref="AU40">IF($AO40&gt;=AU$5,INDEX($AB40:$AK40,1,_xlfn.XMATCH(AT40,$AB$5:$AK$5)),0)</f>
        <v>0</v>
      </c>
      <c r="AV40" s="10">
        <f t="shared" si="1"/>
        <v>0</v>
      </c>
    </row>
    <row r="41" spans="1:48">
      <c r="A41" s="282">
        <v>2005</v>
      </c>
      <c r="B41" s="194"/>
      <c r="C41" s="479"/>
      <c r="D41" s="479"/>
      <c r="E41" s="479"/>
      <c r="F41" s="480"/>
      <c r="G41" s="479">
        <v>-1</v>
      </c>
      <c r="H41" s="282">
        <v>0</v>
      </c>
      <c r="I41" s="282">
        <v>850</v>
      </c>
      <c r="J41" s="282" t="s">
        <v>390</v>
      </c>
      <c r="K41" s="282" t="s">
        <v>391</v>
      </c>
      <c r="L41" s="283">
        <v>45901</v>
      </c>
      <c r="M41" s="284"/>
      <c r="N41" s="195" t="s">
        <v>213</v>
      </c>
      <c r="O41" s="466">
        <v>0</v>
      </c>
      <c r="P41" s="285">
        <v>45901</v>
      </c>
      <c r="Q41" s="285">
        <v>46022</v>
      </c>
      <c r="R41" s="288">
        <v>1</v>
      </c>
      <c r="Z41" s="19"/>
      <c r="AA41" s="15">
        <v>4174</v>
      </c>
      <c r="AB41" s="16">
        <v>5</v>
      </c>
      <c r="AL41" s="478">
        <v>5</v>
      </c>
      <c r="AM41"/>
      <c r="AN41"/>
      <c r="AO41">
        <f t="shared" si="0"/>
        <v>1</v>
      </c>
      <c r="AP41" t="str" cm="1">
        <f t="array" ref="AP41">INDEX($AB$5:$AK$5,1,_xlfn.XMATCH(LARGE($AB41:$AK41,AQ$5),$AB41:$AK41))</f>
        <v>HI</v>
      </c>
      <c r="AQ41" s="10" cm="1">
        <f t="array" ref="AQ41">INDEX($AB41:$AK41,1,_xlfn.XMATCH(AP41,$AB$5:$AK$5))</f>
        <v>5</v>
      </c>
      <c r="AR41" t="str" cm="1">
        <f t="array" ref="AR41">IF($AO41&gt;=AS$5,INDEX($AB$5:$AK$5,1,_xlfn.XMATCH(LARGE($AB41:$AK41,AS$5),$AB41:$AK41)),"")</f>
        <v/>
      </c>
      <c r="AS41" s="10" cm="1">
        <f t="array" ref="AS41">IF($AO41&gt;=AS$5,INDEX($AB41:$AK41,1,_xlfn.XMATCH(AR41,$AB$5:$AK$5)),0)</f>
        <v>0</v>
      </c>
      <c r="AT41" t="str" cm="1">
        <f t="array" ref="AT41">IF($AO41&gt;=AU$5,INDEX($AB$5:$AK$5,1,_xlfn.XMATCH(LARGE($AB41:$AK41,AU$5),$AB41:$AK41)),"")</f>
        <v/>
      </c>
      <c r="AU41" s="10" cm="1">
        <f t="array" ref="AU41">IF($AO41&gt;=AU$5,INDEX($AB41:$AK41,1,_xlfn.XMATCH(AT41,$AB$5:$AK$5)),0)</f>
        <v>0</v>
      </c>
      <c r="AV41" s="10">
        <f t="shared" si="1"/>
        <v>0</v>
      </c>
    </row>
    <row r="42" spans="1:48">
      <c r="A42" s="193">
        <v>2005</v>
      </c>
      <c r="B42" s="194"/>
      <c r="C42" s="193"/>
      <c r="D42" s="193"/>
      <c r="E42" s="193"/>
      <c r="F42" s="283"/>
      <c r="G42" s="193">
        <v>0</v>
      </c>
      <c r="H42" s="282">
        <v>1</v>
      </c>
      <c r="I42" s="193">
        <v>850</v>
      </c>
      <c r="J42" s="193" t="s">
        <v>390</v>
      </c>
      <c r="K42" s="282" t="s">
        <v>391</v>
      </c>
      <c r="L42" s="283">
        <v>45901</v>
      </c>
      <c r="M42" s="281"/>
      <c r="N42" s="287" t="s">
        <v>213</v>
      </c>
      <c r="O42" s="466">
        <v>0</v>
      </c>
      <c r="P42" s="285">
        <v>45901</v>
      </c>
      <c r="Q42" s="285">
        <v>46022</v>
      </c>
      <c r="R42" s="288">
        <v>1</v>
      </c>
      <c r="Z42" s="19"/>
      <c r="AA42" s="15">
        <v>4180</v>
      </c>
      <c r="AG42" s="16">
        <v>9</v>
      </c>
      <c r="AL42" s="478">
        <v>9</v>
      </c>
      <c r="AM42"/>
      <c r="AN42"/>
      <c r="AO42">
        <f t="shared" si="0"/>
        <v>1</v>
      </c>
      <c r="AP42" t="str" cm="1">
        <f t="array" ref="AP42">INDEX($AB$5:$AK$5,1,_xlfn.XMATCH(LARGE($AB42:$AK42,AQ$5),$AB42:$AK42))</f>
        <v>SLCN</v>
      </c>
      <c r="AQ42" s="10" cm="1">
        <f t="array" ref="AQ42">INDEX($AB42:$AK42,1,_xlfn.XMATCH(AP42,$AB$5:$AK$5))</f>
        <v>9</v>
      </c>
      <c r="AR42" t="str" cm="1">
        <f t="array" ref="AR42">IF($AO42&gt;=AS$5,INDEX($AB$5:$AK$5,1,_xlfn.XMATCH(LARGE($AB42:$AK42,AS$5),$AB42:$AK42)),"")</f>
        <v/>
      </c>
      <c r="AS42" s="10" cm="1">
        <f t="array" ref="AS42">IF($AO42&gt;=AS$5,INDEX($AB42:$AK42,1,_xlfn.XMATCH(AR42,$AB$5:$AK$5)),0)</f>
        <v>0</v>
      </c>
      <c r="AT42" t="str" cm="1">
        <f t="array" ref="AT42">IF($AO42&gt;=AU$5,INDEX($AB$5:$AK$5,1,_xlfn.XMATCH(LARGE($AB42:$AK42,AU$5),$AB42:$AK42)),"")</f>
        <v/>
      </c>
      <c r="AU42" s="10" cm="1">
        <f t="array" ref="AU42">IF($AO42&gt;=AU$5,INDEX($AB42:$AK42,1,_xlfn.XMATCH(AT42,$AB$5:$AK$5)),0)</f>
        <v>0</v>
      </c>
      <c r="AV42" s="10">
        <f t="shared" si="1"/>
        <v>0</v>
      </c>
    </row>
    <row r="43" spans="1:48" hidden="1">
      <c r="A43" s="193">
        <v>2011</v>
      </c>
      <c r="B43" s="194"/>
      <c r="C43" s="193"/>
      <c r="D43" s="193"/>
      <c r="E43" s="193"/>
      <c r="F43" s="283"/>
      <c r="G43" s="193">
        <v>6</v>
      </c>
      <c r="H43" s="282">
        <v>7</v>
      </c>
      <c r="I43" s="193">
        <v>850</v>
      </c>
      <c r="J43" s="193" t="s">
        <v>390</v>
      </c>
      <c r="K43" s="193" t="s">
        <v>401</v>
      </c>
      <c r="L43" s="283">
        <v>45294</v>
      </c>
      <c r="M43" s="281">
        <v>45900</v>
      </c>
      <c r="N43" s="195" t="s">
        <v>214</v>
      </c>
      <c r="O43" s="466">
        <v>0</v>
      </c>
      <c r="P43" s="285" t="s">
        <v>399</v>
      </c>
      <c r="Q43" s="285" t="s">
        <v>399</v>
      </c>
      <c r="R43" s="288">
        <v>0</v>
      </c>
      <c r="Z43" s="19"/>
      <c r="AA43" s="15">
        <v>4191</v>
      </c>
      <c r="AF43" s="16">
        <v>10</v>
      </c>
      <c r="AI43" s="16">
        <v>6</v>
      </c>
      <c r="AL43" s="478">
        <v>16</v>
      </c>
      <c r="AM43"/>
      <c r="AN43"/>
      <c r="AO43">
        <f t="shared" si="0"/>
        <v>2</v>
      </c>
      <c r="AP43" t="str" cm="1">
        <f t="array" ref="AP43">INDEX($AB$5:$AK$5,1,_xlfn.XMATCH(LARGE($AB43:$AK43,AQ$5),$AB43:$AK43))</f>
        <v>SEMH</v>
      </c>
      <c r="AQ43" s="10" cm="1">
        <f t="array" ref="AQ43">INDEX($AB43:$AK43,1,_xlfn.XMATCH(AP43,$AB$5:$AK$5))</f>
        <v>10</v>
      </c>
      <c r="AR43" t="str" cm="1">
        <f t="array" ref="AR43">IF($AO43&gt;=AS$5,INDEX($AB$5:$AK$5,1,_xlfn.XMATCH(LARGE($AB43:$AK43,AS$5),$AB43:$AK43)),"")</f>
        <v>SpLD</v>
      </c>
      <c r="AS43" s="10" cm="1">
        <f t="array" ref="AS43">IF($AO43&gt;=AS$5,INDEX($AB43:$AK43,1,_xlfn.XMATCH(AR43,$AB$5:$AK$5)),0)</f>
        <v>6</v>
      </c>
      <c r="AT43" t="str" cm="1">
        <f t="array" ref="AT43">IF($AO43&gt;=AU$5,INDEX($AB$5:$AK$5,1,_xlfn.XMATCH(LARGE($AB43:$AK43,AU$5),$AB43:$AK43)),"")</f>
        <v/>
      </c>
      <c r="AU43" s="10" cm="1">
        <f t="array" ref="AU43">IF($AO43&gt;=AU$5,INDEX($AB43:$AK43,1,_xlfn.XMATCH(AT43,$AB$5:$AK$5)),0)</f>
        <v>0</v>
      </c>
      <c r="AV43" s="10">
        <f t="shared" si="1"/>
        <v>0</v>
      </c>
    </row>
    <row r="44" spans="1:48" hidden="1">
      <c r="A44" s="193">
        <v>2013</v>
      </c>
      <c r="B44" s="194"/>
      <c r="C44" s="193"/>
      <c r="D44" s="193"/>
      <c r="E44" s="193"/>
      <c r="F44" s="283"/>
      <c r="G44" s="193">
        <v>4</v>
      </c>
      <c r="H44" s="282">
        <v>5</v>
      </c>
      <c r="I44" s="193">
        <v>850</v>
      </c>
      <c r="J44" s="193" t="s">
        <v>390</v>
      </c>
      <c r="K44" s="193" t="s">
        <v>402</v>
      </c>
      <c r="L44" s="283">
        <v>45170</v>
      </c>
      <c r="M44" s="281"/>
      <c r="N44" s="195" t="s">
        <v>142</v>
      </c>
      <c r="O44" s="466">
        <v>0</v>
      </c>
      <c r="P44" s="285">
        <v>45901</v>
      </c>
      <c r="Q44" s="285">
        <v>46022</v>
      </c>
      <c r="R44" s="288">
        <v>1</v>
      </c>
      <c r="Z44" s="19"/>
      <c r="AA44" s="15">
        <v>4203</v>
      </c>
      <c r="AB44" s="16">
        <v>3</v>
      </c>
      <c r="AL44" s="478">
        <v>3</v>
      </c>
      <c r="AM44"/>
      <c r="AN44"/>
      <c r="AO44">
        <f t="shared" si="0"/>
        <v>1</v>
      </c>
      <c r="AP44" t="str" cm="1">
        <f t="array" ref="AP44">INDEX($AB$5:$AK$5,1,_xlfn.XMATCH(LARGE($AB44:$AK44,AQ$5),$AB44:$AK44))</f>
        <v>HI</v>
      </c>
      <c r="AQ44" s="10" cm="1">
        <f t="array" ref="AQ44">INDEX($AB44:$AK44,1,_xlfn.XMATCH(AP44,$AB$5:$AK$5))</f>
        <v>3</v>
      </c>
      <c r="AR44" t="str" cm="1">
        <f t="array" ref="AR44">IF($AO44&gt;=AS$5,INDEX($AB$5:$AK$5,1,_xlfn.XMATCH(LARGE($AB44:$AK44,AS$5),$AB44:$AK44)),"")</f>
        <v/>
      </c>
      <c r="AS44" s="10" cm="1">
        <f t="array" ref="AS44">IF($AO44&gt;=AS$5,INDEX($AB44:$AK44,1,_xlfn.XMATCH(AR44,$AB$5:$AK$5)),0)</f>
        <v>0</v>
      </c>
      <c r="AT44" t="str" cm="1">
        <f t="array" ref="AT44">IF($AO44&gt;=AU$5,INDEX($AB$5:$AK$5,1,_xlfn.XMATCH(LARGE($AB44:$AK44,AU$5),$AB44:$AK44)),"")</f>
        <v/>
      </c>
      <c r="AU44" s="10" cm="1">
        <f t="array" ref="AU44">IF($AO44&gt;=AU$5,INDEX($AB44:$AK44,1,_xlfn.XMATCH(AT44,$AB$5:$AK$5)),0)</f>
        <v>0</v>
      </c>
      <c r="AV44" s="10">
        <f t="shared" si="1"/>
        <v>0</v>
      </c>
    </row>
    <row r="45" spans="1:48" hidden="1">
      <c r="A45" s="193">
        <v>2013</v>
      </c>
      <c r="B45" s="194"/>
      <c r="C45" s="193"/>
      <c r="D45" s="193"/>
      <c r="E45" s="193"/>
      <c r="F45" s="283"/>
      <c r="G45" s="193">
        <v>6</v>
      </c>
      <c r="H45" s="282">
        <v>7</v>
      </c>
      <c r="I45" s="193">
        <v>850</v>
      </c>
      <c r="J45" s="193" t="s">
        <v>390</v>
      </c>
      <c r="K45" s="193" t="s">
        <v>402</v>
      </c>
      <c r="L45" s="283">
        <v>44440</v>
      </c>
      <c r="M45" s="281">
        <v>45900</v>
      </c>
      <c r="N45" s="195" t="s">
        <v>142</v>
      </c>
      <c r="O45" s="466">
        <v>0</v>
      </c>
      <c r="P45" s="285" t="s">
        <v>399</v>
      </c>
      <c r="Q45" s="285" t="s">
        <v>399</v>
      </c>
      <c r="R45" s="288">
        <v>0</v>
      </c>
      <c r="Z45" s="19"/>
      <c r="AA45" s="15">
        <v>4206</v>
      </c>
      <c r="AI45" s="16">
        <v>13</v>
      </c>
      <c r="AL45" s="478">
        <v>13</v>
      </c>
      <c r="AM45"/>
      <c r="AN45"/>
      <c r="AO45">
        <f t="shared" si="0"/>
        <v>1</v>
      </c>
      <c r="AP45" t="str" cm="1">
        <f t="array" ref="AP45">INDEX($AB$5:$AK$5,1,_xlfn.XMATCH(LARGE($AB45:$AK45,AQ$5),$AB45:$AK45))</f>
        <v>SpLD</v>
      </c>
      <c r="AQ45" s="10" cm="1">
        <f t="array" ref="AQ45">INDEX($AB45:$AK45,1,_xlfn.XMATCH(AP45,$AB$5:$AK$5))</f>
        <v>13</v>
      </c>
      <c r="AR45" t="str" cm="1">
        <f t="array" ref="AR45">IF($AO45&gt;=AS$5,INDEX($AB$5:$AK$5,1,_xlfn.XMATCH(LARGE($AB45:$AK45,AS$5),$AB45:$AK45)),"")</f>
        <v/>
      </c>
      <c r="AS45" s="10" cm="1">
        <f t="array" ref="AS45">IF($AO45&gt;=AS$5,INDEX($AB45:$AK45,1,_xlfn.XMATCH(AR45,$AB$5:$AK$5)),0)</f>
        <v>0</v>
      </c>
      <c r="AT45" t="str" cm="1">
        <f t="array" ref="AT45">IF($AO45&gt;=AU$5,INDEX($AB$5:$AK$5,1,_xlfn.XMATCH(LARGE($AB45:$AK45,AU$5),$AB45:$AK45)),"")</f>
        <v/>
      </c>
      <c r="AU45" s="10" cm="1">
        <f t="array" ref="AU45">IF($AO45&gt;=AU$5,INDEX($AB45:$AK45,1,_xlfn.XMATCH(AT45,$AB$5:$AK$5)),0)</f>
        <v>0</v>
      </c>
      <c r="AV45" s="10">
        <f t="shared" si="1"/>
        <v>0</v>
      </c>
    </row>
    <row r="46" spans="1:48" hidden="1">
      <c r="A46" s="282">
        <v>2013</v>
      </c>
      <c r="B46" s="194"/>
      <c r="C46" s="479"/>
      <c r="D46" s="479"/>
      <c r="E46" s="479"/>
      <c r="F46" s="480"/>
      <c r="G46" s="479">
        <v>5</v>
      </c>
      <c r="H46" s="282">
        <v>6</v>
      </c>
      <c r="I46" s="282">
        <v>850</v>
      </c>
      <c r="J46" s="282" t="s">
        <v>390</v>
      </c>
      <c r="K46" s="282" t="s">
        <v>402</v>
      </c>
      <c r="L46" s="283">
        <v>44805</v>
      </c>
      <c r="M46" s="284"/>
      <c r="N46" s="195" t="s">
        <v>142</v>
      </c>
      <c r="O46" s="466">
        <v>0</v>
      </c>
      <c r="P46" s="285">
        <v>45901</v>
      </c>
      <c r="Q46" s="285">
        <v>46022</v>
      </c>
      <c r="R46" s="288">
        <v>1</v>
      </c>
      <c r="Z46" s="19"/>
      <c r="AA46" s="15">
        <v>4308</v>
      </c>
      <c r="AB46" s="16">
        <v>2</v>
      </c>
      <c r="AL46" s="478">
        <v>2</v>
      </c>
      <c r="AM46"/>
      <c r="AN46"/>
      <c r="AO46">
        <f t="shared" si="0"/>
        <v>1</v>
      </c>
      <c r="AP46" t="str" cm="1">
        <f t="array" ref="AP46">INDEX($AB$5:$AK$5,1,_xlfn.XMATCH(LARGE($AB46:$AK46,AQ$5),$AB46:$AK46))</f>
        <v>HI</v>
      </c>
      <c r="AQ46" s="10" cm="1">
        <f t="array" ref="AQ46">INDEX($AB46:$AK46,1,_xlfn.XMATCH(AP46,$AB$5:$AK$5))</f>
        <v>2</v>
      </c>
      <c r="AR46" t="str" cm="1">
        <f t="array" ref="AR46">IF($AO46&gt;=AS$5,INDEX($AB$5:$AK$5,1,_xlfn.XMATCH(LARGE($AB46:$AK46,AS$5),$AB46:$AK46)),"")</f>
        <v/>
      </c>
      <c r="AS46" s="10" cm="1">
        <f t="array" ref="AS46">IF($AO46&gt;=AS$5,INDEX($AB46:$AK46,1,_xlfn.XMATCH(AR46,$AB$5:$AK$5)),0)</f>
        <v>0</v>
      </c>
      <c r="AT46" t="str" cm="1">
        <f t="array" ref="AT46">IF($AO46&gt;=AU$5,INDEX($AB$5:$AK$5,1,_xlfn.XMATCH(LARGE($AB46:$AK46,AU$5),$AB46:$AK46)),"")</f>
        <v/>
      </c>
      <c r="AU46" s="10" cm="1">
        <f t="array" ref="AU46">IF($AO46&gt;=AU$5,INDEX($AB46:$AK46,1,_xlfn.XMATCH(AT46,$AB$5:$AK$5)),0)</f>
        <v>0</v>
      </c>
      <c r="AV46" s="10">
        <f t="shared" si="1"/>
        <v>0</v>
      </c>
    </row>
    <row r="47" spans="1:48" hidden="1">
      <c r="A47" s="282">
        <v>2013</v>
      </c>
      <c r="B47" s="194"/>
      <c r="C47" s="282"/>
      <c r="D47" s="282"/>
      <c r="E47" s="282"/>
      <c r="F47" s="283"/>
      <c r="G47" s="282">
        <v>5</v>
      </c>
      <c r="H47" s="282">
        <v>6</v>
      </c>
      <c r="I47" s="282">
        <v>850</v>
      </c>
      <c r="J47" s="282" t="s">
        <v>390</v>
      </c>
      <c r="K47" s="282" t="s">
        <v>402</v>
      </c>
      <c r="L47" s="283">
        <v>44805</v>
      </c>
      <c r="M47" s="281"/>
      <c r="N47" s="287" t="s">
        <v>142</v>
      </c>
      <c r="O47" s="466">
        <v>0</v>
      </c>
      <c r="P47" s="285">
        <v>45901</v>
      </c>
      <c r="Q47" s="285">
        <v>46022</v>
      </c>
      <c r="R47" s="288">
        <v>1</v>
      </c>
      <c r="Z47" s="19"/>
      <c r="AA47" s="15">
        <v>4310</v>
      </c>
      <c r="AE47" s="16">
        <v>4</v>
      </c>
      <c r="AL47" s="478">
        <v>4</v>
      </c>
      <c r="AM47"/>
      <c r="AN47"/>
      <c r="AO47">
        <f t="shared" si="0"/>
        <v>1</v>
      </c>
      <c r="AP47" t="str" cm="1">
        <f t="array" ref="AP47">INDEX($AB$5:$AK$5,1,_xlfn.XMATCH(LARGE($AB47:$AK47,AQ$5),$AB47:$AK47))</f>
        <v>PD - S</v>
      </c>
      <c r="AQ47" s="10" cm="1">
        <f t="array" ref="AQ47">INDEX($AB47:$AK47,1,_xlfn.XMATCH(AP47,$AB$5:$AK$5))</f>
        <v>4</v>
      </c>
      <c r="AR47" t="str" cm="1">
        <f t="array" ref="AR47">IF($AO47&gt;=AS$5,INDEX($AB$5:$AK$5,1,_xlfn.XMATCH(LARGE($AB47:$AK47,AS$5),$AB47:$AK47)),"")</f>
        <v/>
      </c>
      <c r="AS47" s="10" cm="1">
        <f t="array" ref="AS47">IF($AO47&gt;=AS$5,INDEX($AB47:$AK47,1,_xlfn.XMATCH(AR47,$AB$5:$AK$5)),0)</f>
        <v>0</v>
      </c>
      <c r="AT47" t="str" cm="1">
        <f t="array" ref="AT47">IF($AO47&gt;=AU$5,INDEX($AB$5:$AK$5,1,_xlfn.XMATCH(LARGE($AB47:$AK47,AU$5),$AB47:$AK47)),"")</f>
        <v/>
      </c>
      <c r="AU47" s="10" cm="1">
        <f t="array" ref="AU47">IF($AO47&gt;=AU$5,INDEX($AB47:$AK47,1,_xlfn.XMATCH(AT47,$AB$5:$AK$5)),0)</f>
        <v>0</v>
      </c>
      <c r="AV47" s="10">
        <f t="shared" si="1"/>
        <v>0</v>
      </c>
    </row>
    <row r="48" spans="1:48" hidden="1">
      <c r="A48" s="282">
        <v>2013</v>
      </c>
      <c r="B48" s="194"/>
      <c r="C48" s="282"/>
      <c r="D48" s="282"/>
      <c r="E48" s="282"/>
      <c r="F48" s="283"/>
      <c r="G48" s="282">
        <v>3</v>
      </c>
      <c r="H48" s="282">
        <v>4</v>
      </c>
      <c r="I48" s="282">
        <v>850</v>
      </c>
      <c r="J48" s="282" t="s">
        <v>390</v>
      </c>
      <c r="K48" s="193" t="s">
        <v>402</v>
      </c>
      <c r="L48" s="283">
        <v>45536</v>
      </c>
      <c r="M48" s="281"/>
      <c r="N48" s="195" t="s">
        <v>142</v>
      </c>
      <c r="O48" s="466">
        <v>0</v>
      </c>
      <c r="P48" s="285">
        <v>45901</v>
      </c>
      <c r="Q48" s="285">
        <v>46022</v>
      </c>
      <c r="R48" s="288">
        <v>1</v>
      </c>
      <c r="Z48" s="19"/>
      <c r="AA48" s="15">
        <v>4511</v>
      </c>
      <c r="AK48" s="16">
        <v>13</v>
      </c>
      <c r="AL48" s="478">
        <v>13</v>
      </c>
      <c r="AM48"/>
      <c r="AN48"/>
      <c r="AO48">
        <f t="shared" si="0"/>
        <v>1</v>
      </c>
      <c r="AP48" t="str" cm="1">
        <f t="array" ref="AP48">INDEX($AB$5:$AK$5,1,_xlfn.XMATCH(LARGE($AB48:$AK48,AQ$5),$AB48:$AK48))</f>
        <v>ASC</v>
      </c>
      <c r="AQ48" s="10" cm="1">
        <f t="array" ref="AQ48">INDEX($AB48:$AK48,1,_xlfn.XMATCH(AP48,$AB$5:$AK$5))</f>
        <v>13</v>
      </c>
      <c r="AR48" t="str" cm="1">
        <f t="array" ref="AR48">IF($AO48&gt;=AS$5,INDEX($AB$5:$AK$5,1,_xlfn.XMATCH(LARGE($AB48:$AK48,AS$5),$AB48:$AK48)),"")</f>
        <v/>
      </c>
      <c r="AS48" s="10" cm="1">
        <f t="array" ref="AS48">IF($AO48&gt;=AS$5,INDEX($AB48:$AK48,1,_xlfn.XMATCH(AR48,$AB$5:$AK$5)),0)</f>
        <v>0</v>
      </c>
      <c r="AT48" t="str" cm="1">
        <f t="array" ref="AT48">IF($AO48&gt;=AU$5,INDEX($AB$5:$AK$5,1,_xlfn.XMATCH(LARGE($AB48:$AK48,AU$5),$AB48:$AK48)),"")</f>
        <v/>
      </c>
      <c r="AU48" s="10" cm="1">
        <f t="array" ref="AU48">IF($AO48&gt;=AU$5,INDEX($AB48:$AK48,1,_xlfn.XMATCH(AT48,$AB$5:$AK$5)),0)</f>
        <v>0</v>
      </c>
      <c r="AV48" s="10">
        <f t="shared" si="1"/>
        <v>0</v>
      </c>
    </row>
    <row r="49" spans="1:48" hidden="1">
      <c r="A49" s="282">
        <v>2013</v>
      </c>
      <c r="B49" s="194"/>
      <c r="C49" s="282"/>
      <c r="D49" s="282"/>
      <c r="E49" s="282"/>
      <c r="F49" s="283"/>
      <c r="G49" s="282">
        <v>5</v>
      </c>
      <c r="H49" s="282">
        <v>6</v>
      </c>
      <c r="I49" s="282">
        <v>850</v>
      </c>
      <c r="J49" s="282" t="s">
        <v>390</v>
      </c>
      <c r="K49" s="193" t="s">
        <v>402</v>
      </c>
      <c r="L49" s="283">
        <v>44805</v>
      </c>
      <c r="M49" s="281"/>
      <c r="N49" s="195" t="s">
        <v>142</v>
      </c>
      <c r="O49" s="466">
        <v>0</v>
      </c>
      <c r="P49" s="285">
        <v>45901</v>
      </c>
      <c r="Q49" s="285">
        <v>46022</v>
      </c>
      <c r="R49" s="288">
        <v>1</v>
      </c>
      <c r="Z49" s="19"/>
      <c r="AA49" s="15">
        <v>5208</v>
      </c>
      <c r="AC49" s="16">
        <v>5</v>
      </c>
      <c r="AG49" s="16">
        <v>10</v>
      </c>
      <c r="AL49" s="478">
        <v>15</v>
      </c>
      <c r="AM49"/>
      <c r="AN49"/>
      <c r="AO49">
        <f t="shared" si="0"/>
        <v>2</v>
      </c>
      <c r="AP49" t="str" cm="1">
        <f t="array" ref="AP49">INDEX($AB$5:$AK$5,1,_xlfn.XMATCH(LARGE($AB49:$AK49,AQ$5),$AB49:$AK49))</f>
        <v>SLCN</v>
      </c>
      <c r="AQ49" s="10" cm="1">
        <f t="array" ref="AQ49">INDEX($AB49:$AK49,1,_xlfn.XMATCH(AP49,$AB$5:$AK$5))</f>
        <v>10</v>
      </c>
      <c r="AR49" t="str" cm="1">
        <f t="array" ref="AR49">IF($AO49&gt;=AS$5,INDEX($AB$5:$AK$5,1,_xlfn.XMATCH(LARGE($AB49:$AK49,AS$5),$AB49:$AK49)),"")</f>
        <v>MLD</v>
      </c>
      <c r="AS49" s="10" cm="1">
        <f t="array" ref="AS49">IF($AO49&gt;=AS$5,INDEX($AB49:$AK49,1,_xlfn.XMATCH(AR49,$AB$5:$AK$5)),0)</f>
        <v>5</v>
      </c>
      <c r="AT49" t="str" cm="1">
        <f t="array" ref="AT49">IF($AO49&gt;=AU$5,INDEX($AB$5:$AK$5,1,_xlfn.XMATCH(LARGE($AB49:$AK49,AU$5),$AB49:$AK49)),"")</f>
        <v/>
      </c>
      <c r="AU49" s="10" cm="1">
        <f t="array" ref="AU49">IF($AO49&gt;=AU$5,INDEX($AB49:$AK49,1,_xlfn.XMATCH(AT49,$AB$5:$AK$5)),0)</f>
        <v>0</v>
      </c>
      <c r="AV49" s="10">
        <f t="shared" si="1"/>
        <v>0</v>
      </c>
    </row>
    <row r="50" spans="1:48" hidden="1">
      <c r="A50" s="282">
        <v>2013</v>
      </c>
      <c r="B50" s="194"/>
      <c r="C50" s="282"/>
      <c r="D50" s="282"/>
      <c r="E50" s="282"/>
      <c r="F50" s="283"/>
      <c r="G50" s="282">
        <v>4</v>
      </c>
      <c r="H50" s="282">
        <v>5</v>
      </c>
      <c r="I50" s="282">
        <v>850</v>
      </c>
      <c r="J50" s="282" t="s">
        <v>390</v>
      </c>
      <c r="K50" s="282" t="s">
        <v>402</v>
      </c>
      <c r="L50" s="283">
        <v>45397</v>
      </c>
      <c r="M50" s="284"/>
      <c r="N50" s="195" t="s">
        <v>142</v>
      </c>
      <c r="O50" s="466">
        <v>0</v>
      </c>
      <c r="P50" s="285">
        <v>45901</v>
      </c>
      <c r="Q50" s="285">
        <v>46022</v>
      </c>
      <c r="R50" s="288">
        <v>1</v>
      </c>
      <c r="Z50" s="19"/>
      <c r="AA50" s="15">
        <v>5405</v>
      </c>
      <c r="AK50" s="16">
        <v>12</v>
      </c>
      <c r="AL50" s="478">
        <v>12</v>
      </c>
      <c r="AM50"/>
      <c r="AN50"/>
      <c r="AO50">
        <f t="shared" si="0"/>
        <v>1</v>
      </c>
      <c r="AP50" t="str" cm="1">
        <f t="array" ref="AP50">INDEX($AB$5:$AK$5,1,_xlfn.XMATCH(LARGE($AB50:$AK50,AQ$5),$AB50:$AK50))</f>
        <v>ASC</v>
      </c>
      <c r="AQ50" s="10" cm="1">
        <f t="array" ref="AQ50">INDEX($AB50:$AK50,1,_xlfn.XMATCH(AP50,$AB$5:$AK$5))</f>
        <v>12</v>
      </c>
      <c r="AR50" t="str" cm="1">
        <f t="array" ref="AR50">IF($AO50&gt;=AS$5,INDEX($AB$5:$AK$5,1,_xlfn.XMATCH(LARGE($AB50:$AK50,AS$5),$AB50:$AK50)),"")</f>
        <v/>
      </c>
      <c r="AS50" s="10" cm="1">
        <f t="array" ref="AS50">IF($AO50&gt;=AS$5,INDEX($AB50:$AK50,1,_xlfn.XMATCH(AR50,$AB$5:$AK$5)),0)</f>
        <v>0</v>
      </c>
      <c r="AT50" t="str" cm="1">
        <f t="array" ref="AT50">IF($AO50&gt;=AU$5,INDEX($AB$5:$AK$5,1,_xlfn.XMATCH(LARGE($AB50:$AK50,AU$5),$AB50:$AK50)),"")</f>
        <v/>
      </c>
      <c r="AU50" s="10" cm="1">
        <f t="array" ref="AU50">IF($AO50&gt;=AU$5,INDEX($AB50:$AK50,1,_xlfn.XMATCH(AT50,$AB$5:$AK$5)),0)</f>
        <v>0</v>
      </c>
      <c r="AV50" s="10">
        <f t="shared" si="1"/>
        <v>0</v>
      </c>
    </row>
    <row r="51" spans="1:48" hidden="1">
      <c r="A51" s="282">
        <v>2013</v>
      </c>
      <c r="B51" s="194"/>
      <c r="C51" s="282"/>
      <c r="D51" s="282"/>
      <c r="E51" s="282"/>
      <c r="F51" s="283"/>
      <c r="G51" s="282">
        <v>3</v>
      </c>
      <c r="H51" s="282">
        <v>4</v>
      </c>
      <c r="I51" s="282">
        <v>850</v>
      </c>
      <c r="J51" s="282" t="s">
        <v>390</v>
      </c>
      <c r="K51" s="282" t="s">
        <v>403</v>
      </c>
      <c r="L51" s="283">
        <v>45536</v>
      </c>
      <c r="M51" s="281"/>
      <c r="N51" s="195" t="s">
        <v>143</v>
      </c>
      <c r="O51" s="466">
        <v>0</v>
      </c>
      <c r="P51" s="285">
        <v>45901</v>
      </c>
      <c r="Q51" s="285">
        <v>46022</v>
      </c>
      <c r="R51" s="288">
        <v>1</v>
      </c>
      <c r="Z51" s="19"/>
      <c r="AA51" s="15">
        <v>5412</v>
      </c>
      <c r="AI51" s="16">
        <v>9</v>
      </c>
      <c r="AK51" s="16">
        <v>3</v>
      </c>
      <c r="AL51" s="478">
        <v>12</v>
      </c>
      <c r="AM51"/>
      <c r="AN51"/>
      <c r="AO51">
        <f t="shared" si="0"/>
        <v>2</v>
      </c>
      <c r="AP51" t="str" cm="1">
        <f t="array" ref="AP51">INDEX($AB$5:$AK$5,1,_xlfn.XMATCH(LARGE($AB51:$AK51,AQ$5),$AB51:$AK51))</f>
        <v>SpLD</v>
      </c>
      <c r="AQ51" s="10" cm="1">
        <f t="array" ref="AQ51">INDEX($AB51:$AK51,1,_xlfn.XMATCH(AP51,$AB$5:$AK$5))</f>
        <v>9</v>
      </c>
      <c r="AR51" t="str" cm="1">
        <f t="array" ref="AR51">IF($AO51&gt;=AS$5,INDEX($AB$5:$AK$5,1,_xlfn.XMATCH(LARGE($AB51:$AK51,AS$5),$AB51:$AK51)),"")</f>
        <v>ASC</v>
      </c>
      <c r="AS51" s="10" cm="1">
        <f t="array" ref="AS51">IF($AO51&gt;=AS$5,INDEX($AB51:$AK51,1,_xlfn.XMATCH(AR51,$AB$5:$AK$5)),0)</f>
        <v>3</v>
      </c>
      <c r="AT51" t="str" cm="1">
        <f t="array" ref="AT51">IF($AO51&gt;=AU$5,INDEX($AB$5:$AK$5,1,_xlfn.XMATCH(LARGE($AB51:$AK51,AU$5),$AB51:$AK51)),"")</f>
        <v/>
      </c>
      <c r="AU51" s="10" cm="1">
        <f t="array" ref="AU51">IF($AO51&gt;=AU$5,INDEX($AB51:$AK51,1,_xlfn.XMATCH(AT51,$AB$5:$AK$5)),0)</f>
        <v>0</v>
      </c>
      <c r="AV51" s="10">
        <f t="shared" si="1"/>
        <v>0</v>
      </c>
    </row>
    <row r="52" spans="1:48" hidden="1">
      <c r="A52" s="193">
        <v>2013</v>
      </c>
      <c r="B52" s="194"/>
      <c r="C52" s="193"/>
      <c r="D52" s="193"/>
      <c r="E52" s="193"/>
      <c r="F52" s="283"/>
      <c r="G52" s="193">
        <v>4</v>
      </c>
      <c r="H52" s="282">
        <v>5</v>
      </c>
      <c r="I52" s="193">
        <v>850</v>
      </c>
      <c r="J52" s="193" t="s">
        <v>390</v>
      </c>
      <c r="K52" s="282" t="s">
        <v>402</v>
      </c>
      <c r="L52" s="283">
        <v>45170</v>
      </c>
      <c r="M52" s="281"/>
      <c r="N52" s="195" t="s">
        <v>142</v>
      </c>
      <c r="O52" s="466">
        <v>0</v>
      </c>
      <c r="P52" s="285">
        <v>45901</v>
      </c>
      <c r="Q52" s="285">
        <v>46022</v>
      </c>
      <c r="R52" s="288">
        <v>1</v>
      </c>
      <c r="Z52" s="19"/>
      <c r="AA52" s="15">
        <v>3404</v>
      </c>
      <c r="AB52" s="16">
        <v>5</v>
      </c>
      <c r="AL52" s="478">
        <v>5</v>
      </c>
      <c r="AM52"/>
      <c r="AN52"/>
      <c r="AO52">
        <f t="shared" si="0"/>
        <v>1</v>
      </c>
      <c r="AP52" t="str" cm="1">
        <f t="array" ref="AP52">INDEX($AB$5:$AK$5,1,_xlfn.XMATCH(LARGE($AB52:$AK52,AQ$5),$AB52:$AK52))</f>
        <v>HI</v>
      </c>
      <c r="AQ52" s="10" cm="1">
        <f t="array" ref="AQ52">INDEX($AB52:$AK52,1,_xlfn.XMATCH(AP52,$AB$5:$AK$5))</f>
        <v>5</v>
      </c>
      <c r="AR52" t="str" cm="1">
        <f t="array" ref="AR52">IF($AO52&gt;=AS$5,INDEX($AB$5:$AK$5,1,_xlfn.XMATCH(LARGE($AB52:$AK52,AS$5),$AB52:$AK52)),"")</f>
        <v/>
      </c>
      <c r="AS52" s="10" cm="1">
        <f t="array" ref="AS52">IF($AO52&gt;=AS$5,INDEX($AB52:$AK52,1,_xlfn.XMATCH(AR52,$AB$5:$AK$5)),0)</f>
        <v>0</v>
      </c>
      <c r="AT52" t="str" cm="1">
        <f t="array" ref="AT52">IF($AO52&gt;=AU$5,INDEX($AB$5:$AK$5,1,_xlfn.XMATCH(LARGE($AB52:$AK52,AU$5),$AB52:$AK52)),"")</f>
        <v/>
      </c>
      <c r="AU52" s="10" cm="1">
        <f t="array" ref="AU52">IF($AO52&gt;=AU$5,INDEX($AB52:$AK52,1,_xlfn.XMATCH(AT52,$AB$5:$AK$5)),0)</f>
        <v>0</v>
      </c>
      <c r="AV52" s="10">
        <f t="shared" si="1"/>
        <v>0</v>
      </c>
    </row>
    <row r="53" spans="1:48" hidden="1">
      <c r="A53" s="193">
        <v>2013</v>
      </c>
      <c r="B53" s="194"/>
      <c r="C53" s="193"/>
      <c r="D53" s="193"/>
      <c r="E53" s="193"/>
      <c r="F53" s="283"/>
      <c r="G53" s="193">
        <v>6</v>
      </c>
      <c r="H53" s="282">
        <v>7</v>
      </c>
      <c r="I53" s="193">
        <v>850</v>
      </c>
      <c r="J53" s="193" t="s">
        <v>390</v>
      </c>
      <c r="K53" s="282" t="s">
        <v>402</v>
      </c>
      <c r="L53" s="283">
        <v>44440</v>
      </c>
      <c r="M53" s="281">
        <v>45900</v>
      </c>
      <c r="N53" s="195" t="s">
        <v>142</v>
      </c>
      <c r="O53" s="466">
        <v>0</v>
      </c>
      <c r="P53" s="285" t="s">
        <v>399</v>
      </c>
      <c r="Q53" s="285" t="s">
        <v>399</v>
      </c>
      <c r="R53" s="288">
        <v>0</v>
      </c>
      <c r="Z53" s="19"/>
      <c r="AA53" s="15">
        <v>4130</v>
      </c>
      <c r="AF53" s="16">
        <v>9.08</v>
      </c>
      <c r="AL53" s="478">
        <v>9.08</v>
      </c>
      <c r="AM53"/>
      <c r="AN53"/>
      <c r="AO53">
        <f t="shared" ref="AO53:AO54" si="2">COUNTIFS(AB53:AK53,"&lt;&gt;0",AB53:AK53,"&lt;&gt;")</f>
        <v>1</v>
      </c>
      <c r="AP53" t="str" cm="1">
        <f t="array" ref="AP53">INDEX($AB$5:$AK$5,1,_xlfn.XMATCH(LARGE($AB53:$AK53,AQ$5),$AB53:$AK53))</f>
        <v>SEMH</v>
      </c>
      <c r="AQ53" s="10" cm="1">
        <f t="array" ref="AQ53">INDEX($AB53:$AK53,1,_xlfn.XMATCH(AP53,$AB$5:$AK$5))</f>
        <v>9.08</v>
      </c>
      <c r="AR53" t="str" cm="1">
        <f t="array" ref="AR53">IF($AO53&gt;=AS$5,INDEX($AB$5:$AK$5,1,_xlfn.XMATCH(LARGE($AB53:$AK53,AS$5),$AB53:$AK53)),"")</f>
        <v/>
      </c>
      <c r="AS53" s="10" cm="1">
        <f t="array" ref="AS53">IF($AO53&gt;=AS$5,INDEX($AB53:$AK53,1,_xlfn.XMATCH(AR53,$AB$5:$AK$5)),0)</f>
        <v>0</v>
      </c>
      <c r="AT53" t="str" cm="1">
        <f t="array" ref="AT53">IF($AO53&gt;=AU$5,INDEX($AB$5:$AK$5,1,_xlfn.XMATCH(LARGE($AB53:$AK53,AU$5),$AB53:$AK53)),"")</f>
        <v/>
      </c>
      <c r="AU53" s="10" cm="1">
        <f t="array" ref="AU53">IF($AO53&gt;=AU$5,INDEX($AB53:$AK53,1,_xlfn.XMATCH(AT53,$AB$5:$AK$5)),0)</f>
        <v>0</v>
      </c>
      <c r="AV53" s="10">
        <f t="shared" ref="AV53:AV54" si="3">AL53-AQ53-IF(AS53="",0,AS53)-IF(AU53="",0,AU53)</f>
        <v>0</v>
      </c>
    </row>
    <row r="54" spans="1:48" hidden="1">
      <c r="A54" s="193">
        <v>2013</v>
      </c>
      <c r="B54" s="194"/>
      <c r="C54" s="193"/>
      <c r="D54" s="193"/>
      <c r="E54" s="193"/>
      <c r="F54" s="283"/>
      <c r="G54" s="193">
        <v>5</v>
      </c>
      <c r="H54" s="282">
        <v>6</v>
      </c>
      <c r="I54" s="193">
        <v>850</v>
      </c>
      <c r="J54" s="193" t="s">
        <v>390</v>
      </c>
      <c r="K54" s="282" t="s">
        <v>402</v>
      </c>
      <c r="L54" s="283">
        <v>44805</v>
      </c>
      <c r="M54" s="281"/>
      <c r="N54" s="195" t="s">
        <v>142</v>
      </c>
      <c r="O54" s="466">
        <v>0</v>
      </c>
      <c r="P54" s="285">
        <v>45901</v>
      </c>
      <c r="Q54" s="285">
        <v>46022</v>
      </c>
      <c r="R54" s="288">
        <v>1</v>
      </c>
      <c r="AA54" s="15">
        <v>5416</v>
      </c>
      <c r="AF54" s="16">
        <v>5</v>
      </c>
      <c r="AL54" s="478">
        <v>5</v>
      </c>
      <c r="AM54"/>
      <c r="AN54"/>
      <c r="AO54">
        <f t="shared" si="2"/>
        <v>1</v>
      </c>
      <c r="AP54" t="str" cm="1">
        <f t="array" ref="AP54">INDEX($AB$5:$AK$5,1,_xlfn.XMATCH(LARGE($AB54:$AK54,AQ$5),$AB54:$AK54))</f>
        <v>SEMH</v>
      </c>
      <c r="AQ54" s="10" cm="1">
        <f t="array" ref="AQ54">INDEX($AB54:$AK54,1,_xlfn.XMATCH(AP54,$AB$5:$AK$5))</f>
        <v>5</v>
      </c>
      <c r="AR54" t="str" cm="1">
        <f t="array" ref="AR54">IF($AO54&gt;=AS$5,INDEX($AB$5:$AK$5,1,_xlfn.XMATCH(LARGE($AB54:$AK54,AS$5),$AB54:$AK54)),"")</f>
        <v/>
      </c>
      <c r="AS54" s="10" cm="1">
        <f t="array" ref="AS54">IF($AO54&gt;=AS$5,INDEX($AB54:$AK54,1,_xlfn.XMATCH(AR54,$AB$5:$AK$5)),0)</f>
        <v>0</v>
      </c>
      <c r="AT54" t="str" cm="1">
        <f t="array" ref="AT54">IF($AO54&gt;=AU$5,INDEX($AB$5:$AK$5,1,_xlfn.XMATCH(LARGE($AB54:$AK54,AU$5),$AB54:$AK54)),"")</f>
        <v/>
      </c>
      <c r="AU54" s="10" cm="1">
        <f t="array" ref="AU54">IF($AO54&gt;=AU$5,INDEX($AB54:$AK54,1,_xlfn.XMATCH(AT54,$AB$5:$AK$5)),0)</f>
        <v>0</v>
      </c>
      <c r="AV54" s="10">
        <f t="shared" si="3"/>
        <v>0</v>
      </c>
    </row>
    <row r="55" spans="1:48" hidden="1">
      <c r="A55" s="282">
        <v>2013</v>
      </c>
      <c r="B55" s="194"/>
      <c r="C55" s="282"/>
      <c r="D55" s="282"/>
      <c r="E55" s="282"/>
      <c r="F55" s="283"/>
      <c r="G55" s="282">
        <v>6</v>
      </c>
      <c r="H55" s="282">
        <v>7</v>
      </c>
      <c r="I55" s="282">
        <v>850</v>
      </c>
      <c r="J55" s="282" t="s">
        <v>390</v>
      </c>
      <c r="K55" s="282" t="s">
        <v>402</v>
      </c>
      <c r="L55" s="283">
        <v>44440</v>
      </c>
      <c r="M55" s="284">
        <v>45900</v>
      </c>
      <c r="N55" s="195" t="s">
        <v>142</v>
      </c>
      <c r="O55" s="466">
        <v>0</v>
      </c>
      <c r="P55" s="285" t="s">
        <v>399</v>
      </c>
      <c r="Q55" s="285" t="s">
        <v>399</v>
      </c>
      <c r="R55" s="288">
        <v>0</v>
      </c>
      <c r="AA55" s="15">
        <v>2339</v>
      </c>
      <c r="AK55" s="16">
        <v>2</v>
      </c>
      <c r="AL55" s="478">
        <v>2</v>
      </c>
      <c r="AM55"/>
      <c r="AN55"/>
      <c r="AO55">
        <f t="shared" ref="AO55:AO57" si="4">COUNTIFS(AB55:AK55,"&lt;&gt;0",AB55:AK55,"&lt;&gt;")</f>
        <v>1</v>
      </c>
      <c r="AP55" t="str" cm="1">
        <f t="array" ref="AP55">INDEX($AB$5:$AK$5,1,_xlfn.XMATCH(LARGE($AB55:$AK55,AQ$5),$AB55:$AK55))</f>
        <v>ASC</v>
      </c>
      <c r="AQ55" s="10" cm="1">
        <f t="array" ref="AQ55">INDEX($AB55:$AK55,1,_xlfn.XMATCH(AP55,$AB$5:$AK$5))</f>
        <v>2</v>
      </c>
      <c r="AR55" t="str" cm="1">
        <f t="array" ref="AR55">IF($AO55&gt;=AS$5,INDEX($AB$5:$AK$5,1,_xlfn.XMATCH(LARGE($AB55:$AK55,AS$5),$AB55:$AK55)),"")</f>
        <v/>
      </c>
      <c r="AS55" s="10" cm="1">
        <f t="array" ref="AS55">IF($AO55&gt;=AS$5,INDEX($AB55:$AK55,1,_xlfn.XMATCH(AR55,$AB$5:$AK$5)),0)</f>
        <v>0</v>
      </c>
      <c r="AT55" t="str" cm="1">
        <f t="array" ref="AT55">IF($AO55&gt;=AU$5,INDEX($AB$5:$AK$5,1,_xlfn.XMATCH(LARGE($AB55:$AK55,AU$5),$AB55:$AK55)),"")</f>
        <v/>
      </c>
      <c r="AU55" s="10" cm="1">
        <f t="array" ref="AU55">IF($AO55&gt;=AU$5,INDEX($AB55:$AK55,1,_xlfn.XMATCH(AT55,$AB$5:$AK$5)),0)</f>
        <v>0</v>
      </c>
      <c r="AV55" s="10">
        <f t="shared" ref="AV55:AV57" si="5">AL55-AQ55-IF(AS55="",0,AS55)-IF(AU55="",0,AU55)</f>
        <v>0</v>
      </c>
    </row>
    <row r="56" spans="1:48" hidden="1">
      <c r="A56" s="282">
        <v>2013</v>
      </c>
      <c r="B56" s="194"/>
      <c r="C56" s="479"/>
      <c r="D56" s="479"/>
      <c r="E56" s="479"/>
      <c r="F56" s="480"/>
      <c r="G56" s="479">
        <v>4</v>
      </c>
      <c r="H56" s="282">
        <v>5</v>
      </c>
      <c r="I56" s="282">
        <v>850</v>
      </c>
      <c r="J56" s="282" t="s">
        <v>390</v>
      </c>
      <c r="K56" s="193" t="s">
        <v>402</v>
      </c>
      <c r="L56" s="283">
        <v>45170</v>
      </c>
      <c r="M56" s="284"/>
      <c r="N56" s="195" t="s">
        <v>142</v>
      </c>
      <c r="O56" s="466">
        <v>0</v>
      </c>
      <c r="P56" s="285">
        <v>45901</v>
      </c>
      <c r="Q56" s="285">
        <v>46022</v>
      </c>
      <c r="R56" s="288">
        <v>1</v>
      </c>
      <c r="AA56" s="15">
        <v>2045</v>
      </c>
      <c r="AF56" s="16">
        <v>4</v>
      </c>
      <c r="AL56" s="478">
        <v>4</v>
      </c>
      <c r="AM56"/>
      <c r="AO56">
        <f t="shared" si="4"/>
        <v>1</v>
      </c>
      <c r="AP56" t="str" cm="1">
        <f t="array" ref="AP56">INDEX($AB$5:$AK$5,1,_xlfn.XMATCH(LARGE($AB56:$AK56,AQ$5),$AB56:$AK56))</f>
        <v>SEMH</v>
      </c>
      <c r="AQ56" s="10" cm="1">
        <f t="array" ref="AQ56">INDEX($AB56:$AK56,1,_xlfn.XMATCH(AP56,$AB$5:$AK$5))</f>
        <v>4</v>
      </c>
      <c r="AR56" t="str" cm="1">
        <f t="array" ref="AR56">IF($AO56&gt;=AS$5,INDEX($AB$5:$AK$5,1,_xlfn.XMATCH(LARGE($AB56:$AK56,AS$5),$AB56:$AK56)),"")</f>
        <v/>
      </c>
      <c r="AS56" s="10" cm="1">
        <f t="array" ref="AS56">IF($AO56&gt;=AS$5,INDEX($AB56:$AK56,1,_xlfn.XMATCH(AR56,$AB$5:$AK$5)),0)</f>
        <v>0</v>
      </c>
      <c r="AT56" t="str" cm="1">
        <f t="array" ref="AT56">IF($AO56&gt;=AU$5,INDEX($AB$5:$AK$5,1,_xlfn.XMATCH(LARGE($AB56:$AK56,AU$5),$AB56:$AK56)),"")</f>
        <v/>
      </c>
      <c r="AU56" s="10" cm="1">
        <f t="array" ref="AU56">IF($AO56&gt;=AU$5,INDEX($AB56:$AK56,1,_xlfn.XMATCH(AT56,$AB$5:$AK$5)),0)</f>
        <v>0</v>
      </c>
      <c r="AV56" s="10">
        <f t="shared" si="5"/>
        <v>0</v>
      </c>
    </row>
    <row r="57" spans="1:48" hidden="1">
      <c r="A57" s="282">
        <v>2013</v>
      </c>
      <c r="B57" s="194"/>
      <c r="C57" s="282"/>
      <c r="D57" s="282"/>
      <c r="E57" s="282"/>
      <c r="F57" s="283"/>
      <c r="G57" s="282">
        <v>5</v>
      </c>
      <c r="H57" s="282">
        <v>6</v>
      </c>
      <c r="I57" s="282">
        <v>850</v>
      </c>
      <c r="J57" s="282" t="s">
        <v>390</v>
      </c>
      <c r="K57" s="282" t="s">
        <v>402</v>
      </c>
      <c r="L57" s="283">
        <v>44866</v>
      </c>
      <c r="M57" s="284"/>
      <c r="N57" s="195" t="s">
        <v>142</v>
      </c>
      <c r="O57" s="466">
        <v>0</v>
      </c>
      <c r="P57" s="285">
        <v>45901</v>
      </c>
      <c r="Q57" s="285">
        <v>46022</v>
      </c>
      <c r="R57" s="288">
        <v>1</v>
      </c>
      <c r="AA57" s="15">
        <v>4159</v>
      </c>
      <c r="AK57" s="16">
        <v>5</v>
      </c>
      <c r="AL57" s="478">
        <v>5</v>
      </c>
      <c r="AM57"/>
      <c r="AO57">
        <f t="shared" si="4"/>
        <v>1</v>
      </c>
      <c r="AP57" t="str" cm="1">
        <f t="array" ref="AP57">INDEX($AB$5:$AK$5,1,_xlfn.XMATCH(LARGE($AB57:$AK57,AQ$5),$AB57:$AK57))</f>
        <v>ASC</v>
      </c>
      <c r="AQ57" s="10" cm="1">
        <f t="array" ref="AQ57">INDEX($AB57:$AK57,1,_xlfn.XMATCH(AP57,$AB$5:$AK$5))</f>
        <v>5</v>
      </c>
      <c r="AR57" t="str" cm="1">
        <f t="array" ref="AR57">IF($AO57&gt;=AS$5,INDEX($AB$5:$AK$5,1,_xlfn.XMATCH(LARGE($AB57:$AK57,AS$5),$AB57:$AK57)),"")</f>
        <v/>
      </c>
      <c r="AS57" s="10" cm="1">
        <f t="array" ref="AS57">IF($AO57&gt;=AS$5,INDEX($AB57:$AK57,1,_xlfn.XMATCH(AR57,$AB$5:$AK$5)),0)</f>
        <v>0</v>
      </c>
      <c r="AT57" t="str" cm="1">
        <f t="array" ref="AT57">IF($AO57&gt;=AU$5,INDEX($AB$5:$AK$5,1,_xlfn.XMATCH(LARGE($AB57:$AK57,AU$5),$AB57:$AK57)),"")</f>
        <v/>
      </c>
      <c r="AU57" s="10" cm="1">
        <f t="array" ref="AU57">IF($AO57&gt;=AU$5,INDEX($AB57:$AK57,1,_xlfn.XMATCH(AT57,$AB$5:$AK$5)),0)</f>
        <v>0</v>
      </c>
      <c r="AV57" s="10">
        <f t="shared" si="5"/>
        <v>0</v>
      </c>
    </row>
    <row r="58" spans="1:48" hidden="1">
      <c r="A58" s="282">
        <v>2013</v>
      </c>
      <c r="B58" s="194"/>
      <c r="C58" s="479"/>
      <c r="D58" s="479"/>
      <c r="E58" s="479"/>
      <c r="F58" s="480"/>
      <c r="G58" s="479">
        <v>5</v>
      </c>
      <c r="H58" s="282">
        <v>6</v>
      </c>
      <c r="I58" s="282">
        <v>850</v>
      </c>
      <c r="J58" s="282" t="s">
        <v>390</v>
      </c>
      <c r="K58" s="282" t="s">
        <v>402</v>
      </c>
      <c r="L58" s="283">
        <v>44805</v>
      </c>
      <c r="M58" s="284"/>
      <c r="N58" s="195" t="s">
        <v>142</v>
      </c>
      <c r="O58" s="466">
        <v>0</v>
      </c>
      <c r="P58" s="285">
        <v>45901</v>
      </c>
      <c r="Q58" s="285">
        <v>46022</v>
      </c>
      <c r="R58" s="288">
        <v>1</v>
      </c>
      <c r="AA58" s="15">
        <v>2270</v>
      </c>
      <c r="AK58" s="16">
        <v>0</v>
      </c>
      <c r="AL58" s="478">
        <v>0</v>
      </c>
      <c r="AM58"/>
      <c r="AO58">
        <f t="shared" ref="AO58:AO59" si="6">COUNTIFS(AB58:AK58,"&lt;&gt;0",AB58:AK58,"&lt;&gt;")</f>
        <v>0</v>
      </c>
      <c r="AP58" t="str" cm="1">
        <f t="array" ref="AP58">INDEX($AB$5:$AK$5,1,_xlfn.XMATCH(LARGE($AB58:$AK58,AQ$5),$AB58:$AK58))</f>
        <v>ASC</v>
      </c>
      <c r="AQ58" s="10" cm="1">
        <f t="array" ref="AQ58">INDEX($AB58:$AK58,1,_xlfn.XMATCH(AP58,$AB$5:$AK$5))</f>
        <v>0</v>
      </c>
      <c r="AR58" t="str" cm="1">
        <f t="array" ref="AR58">IF($AO58&gt;=AS$5,INDEX($AB$5:$AK$5,1,_xlfn.XMATCH(LARGE($AB58:$AK58,AS$5),$AB58:$AK58)),"")</f>
        <v/>
      </c>
      <c r="AS58" s="10" cm="1">
        <f t="array" ref="AS58">IF($AO58&gt;=AS$5,INDEX($AB58:$AK58,1,_xlfn.XMATCH(AR58,$AB$5:$AK$5)),0)</f>
        <v>0</v>
      </c>
      <c r="AT58" t="str" cm="1">
        <f t="array" ref="AT58">IF($AO58&gt;=AU$5,INDEX($AB$5:$AK$5,1,_xlfn.XMATCH(LARGE($AB58:$AK58,AU$5),$AB58:$AK58)),"")</f>
        <v/>
      </c>
      <c r="AU58" s="10" cm="1">
        <f t="array" ref="AU58">IF($AO58&gt;=AU$5,INDEX($AB58:$AK58,1,_xlfn.XMATCH(AT58,$AB$5:$AK$5)),0)</f>
        <v>0</v>
      </c>
      <c r="AV58" s="10">
        <f t="shared" ref="AV58:AV59" si="7">AL58-AQ58-IF(AS58="",0,AS58)-IF(AU58="",0,AU58)</f>
        <v>0</v>
      </c>
    </row>
    <row r="59" spans="1:48" hidden="1">
      <c r="A59" s="282">
        <v>2013</v>
      </c>
      <c r="B59" s="194"/>
      <c r="C59" s="479"/>
      <c r="D59" s="479"/>
      <c r="E59" s="479"/>
      <c r="F59" s="480"/>
      <c r="G59" s="479">
        <v>4</v>
      </c>
      <c r="H59" s="282">
        <v>5</v>
      </c>
      <c r="I59" s="282">
        <v>850</v>
      </c>
      <c r="J59" s="282" t="s">
        <v>390</v>
      </c>
      <c r="K59" s="193" t="s">
        <v>402</v>
      </c>
      <c r="L59" s="283">
        <v>45170</v>
      </c>
      <c r="M59" s="284"/>
      <c r="N59" s="195" t="s">
        <v>142</v>
      </c>
      <c r="O59" s="466">
        <v>0</v>
      </c>
      <c r="P59" s="285">
        <v>45901</v>
      </c>
      <c r="Q59" s="285">
        <v>46022</v>
      </c>
      <c r="R59" s="288">
        <v>1</v>
      </c>
      <c r="AA59" s="15">
        <v>3197</v>
      </c>
      <c r="AF59" s="16">
        <v>0</v>
      </c>
      <c r="AL59" s="478">
        <v>0</v>
      </c>
      <c r="AM59"/>
      <c r="AO59">
        <f t="shared" si="6"/>
        <v>0</v>
      </c>
      <c r="AP59" t="str" cm="1">
        <f t="array" ref="AP59">INDEX($AB$5:$AK$5,1,_xlfn.XMATCH(LARGE($AB59:$AK59,AQ$5),$AB59:$AK59))</f>
        <v>SEMH</v>
      </c>
      <c r="AQ59" s="10" cm="1">
        <f t="array" ref="AQ59">INDEX($AB59:$AK59,1,_xlfn.XMATCH(AP59,$AB$5:$AK$5))</f>
        <v>0</v>
      </c>
      <c r="AR59" t="str" cm="1">
        <f t="array" ref="AR59">IF($AO59&gt;=AS$5,INDEX($AB$5:$AK$5,1,_xlfn.XMATCH(LARGE($AB59:$AK59,AS$5),$AB59:$AK59)),"")</f>
        <v/>
      </c>
      <c r="AS59" s="10" cm="1">
        <f t="array" ref="AS59">IF($AO59&gt;=AS$5,INDEX($AB59:$AK59,1,_xlfn.XMATCH(AR59,$AB$5:$AK$5)),0)</f>
        <v>0</v>
      </c>
      <c r="AT59" t="str" cm="1">
        <f t="array" ref="AT59">IF($AO59&gt;=AU$5,INDEX($AB$5:$AK$5,1,_xlfn.XMATCH(LARGE($AB59:$AK59,AU$5),$AB59:$AK59)),"")</f>
        <v/>
      </c>
      <c r="AU59" s="10" cm="1">
        <f t="array" ref="AU59">IF($AO59&gt;=AU$5,INDEX($AB59:$AK59,1,_xlfn.XMATCH(AT59,$AB$5:$AK$5)),0)</f>
        <v>0</v>
      </c>
      <c r="AV59" s="10">
        <f t="shared" si="7"/>
        <v>0</v>
      </c>
    </row>
    <row r="60" spans="1:48" hidden="1">
      <c r="A60" s="282">
        <v>2013</v>
      </c>
      <c r="B60" s="194"/>
      <c r="C60" s="282"/>
      <c r="D60" s="282"/>
      <c r="E60" s="282"/>
      <c r="F60" s="283"/>
      <c r="G60" s="282">
        <v>6</v>
      </c>
      <c r="H60" s="282">
        <v>7</v>
      </c>
      <c r="I60" s="282">
        <v>850</v>
      </c>
      <c r="J60" s="282" t="s">
        <v>390</v>
      </c>
      <c r="K60" s="282" t="s">
        <v>403</v>
      </c>
      <c r="L60" s="283">
        <v>44805</v>
      </c>
      <c r="M60" s="284">
        <v>45900</v>
      </c>
      <c r="N60" s="195" t="s">
        <v>143</v>
      </c>
      <c r="O60" s="466">
        <v>0</v>
      </c>
      <c r="P60" s="285" t="s">
        <v>399</v>
      </c>
      <c r="Q60" s="285" t="s">
        <v>399</v>
      </c>
      <c r="R60" s="288">
        <v>0</v>
      </c>
      <c r="AA60" s="15">
        <v>3192</v>
      </c>
      <c r="AK60" s="16">
        <v>0</v>
      </c>
      <c r="AL60" s="478">
        <v>0</v>
      </c>
      <c r="AM60"/>
      <c r="AO60">
        <f t="shared" ref="AO60" si="8">COUNTIFS(AB60:AK60,"&lt;&gt;0",AB60:AK60,"&lt;&gt;")</f>
        <v>0</v>
      </c>
      <c r="AP60" t="str" cm="1">
        <f t="array" ref="AP60">INDEX($AB$5:$AK$5,1,_xlfn.XMATCH(LARGE($AB60:$AK60,AQ$5),$AB60:$AK60))</f>
        <v>ASC</v>
      </c>
      <c r="AQ60" s="10" cm="1">
        <f t="array" ref="AQ60">INDEX($AB60:$AK60,1,_xlfn.XMATCH(AP60,$AB$5:$AK$5))</f>
        <v>0</v>
      </c>
      <c r="AR60" t="str" cm="1">
        <f t="array" ref="AR60">IF($AO60&gt;=AS$5,INDEX($AB$5:$AK$5,1,_xlfn.XMATCH(LARGE($AB60:$AK60,AS$5),$AB60:$AK60)),"")</f>
        <v/>
      </c>
      <c r="AS60" s="10" cm="1">
        <f t="array" ref="AS60">IF($AO60&gt;=AS$5,INDEX($AB60:$AK60,1,_xlfn.XMATCH(AR60,$AB$5:$AK$5)),0)</f>
        <v>0</v>
      </c>
      <c r="AT60" t="str" cm="1">
        <f t="array" ref="AT60">IF($AO60&gt;=AU$5,INDEX($AB$5:$AK$5,1,_xlfn.XMATCH(LARGE($AB60:$AK60,AU$5),$AB60:$AK60)),"")</f>
        <v/>
      </c>
      <c r="AU60" s="10" cm="1">
        <f t="array" ref="AU60">IF($AO60&gt;=AU$5,INDEX($AB60:$AK60,1,_xlfn.XMATCH(AT60,$AB$5:$AK$5)),0)</f>
        <v>0</v>
      </c>
      <c r="AV60" s="10">
        <f t="shared" ref="AV60" si="9">AL60-AQ60-IF(AS60="",0,AS60)-IF(AU60="",0,AU60)</f>
        <v>0</v>
      </c>
    </row>
    <row r="61" spans="1:48" ht="15.75" hidden="1" thickBot="1">
      <c r="A61" s="282">
        <v>2013</v>
      </c>
      <c r="B61" s="194"/>
      <c r="C61" s="282"/>
      <c r="D61" s="282"/>
      <c r="E61" s="282"/>
      <c r="F61" s="283"/>
      <c r="G61" s="282">
        <v>4</v>
      </c>
      <c r="H61" s="282">
        <v>5</v>
      </c>
      <c r="I61" s="282">
        <v>850</v>
      </c>
      <c r="J61" s="282" t="s">
        <v>390</v>
      </c>
      <c r="K61" s="282" t="s">
        <v>402</v>
      </c>
      <c r="L61" s="283">
        <v>45170</v>
      </c>
      <c r="M61" s="281"/>
      <c r="N61" s="195" t="s">
        <v>142</v>
      </c>
      <c r="O61" s="466">
        <v>0</v>
      </c>
      <c r="P61" s="285">
        <v>45901</v>
      </c>
      <c r="Q61" s="285">
        <v>46022</v>
      </c>
      <c r="R61" s="288">
        <v>1</v>
      </c>
      <c r="AA61" s="15" t="s">
        <v>330</v>
      </c>
      <c r="AB61" s="16">
        <v>32</v>
      </c>
      <c r="AC61" s="16">
        <v>57</v>
      </c>
      <c r="AD61" s="16">
        <v>9</v>
      </c>
      <c r="AE61" s="16">
        <v>6</v>
      </c>
      <c r="AF61" s="16">
        <v>97.339999999999989</v>
      </c>
      <c r="AG61" s="16">
        <v>130</v>
      </c>
      <c r="AH61" s="16">
        <v>39</v>
      </c>
      <c r="AI61" s="16">
        <v>47</v>
      </c>
      <c r="AJ61" s="16">
        <v>28</v>
      </c>
      <c r="AK61" s="16">
        <v>150</v>
      </c>
      <c r="AL61" s="478">
        <v>595.34</v>
      </c>
      <c r="AV61" s="199">
        <f>SUM(AV6:AV57)</f>
        <v>0</v>
      </c>
    </row>
    <row r="62" spans="1:48" hidden="1">
      <c r="A62" s="282">
        <v>2013</v>
      </c>
      <c r="B62" s="194"/>
      <c r="C62" s="479"/>
      <c r="D62" s="479"/>
      <c r="E62" s="479"/>
      <c r="F62" s="480"/>
      <c r="G62" s="479">
        <v>5</v>
      </c>
      <c r="H62" s="282">
        <v>6</v>
      </c>
      <c r="I62" s="282">
        <v>850</v>
      </c>
      <c r="J62" s="282" t="s">
        <v>390</v>
      </c>
      <c r="K62" s="193" t="s">
        <v>402</v>
      </c>
      <c r="L62" s="283">
        <v>44805</v>
      </c>
      <c r="M62" s="284"/>
      <c r="N62" s="195" t="s">
        <v>142</v>
      </c>
      <c r="O62" s="466">
        <v>0</v>
      </c>
      <c r="P62" s="285">
        <v>45901</v>
      </c>
      <c r="Q62" s="285">
        <v>46022</v>
      </c>
      <c r="R62" s="288">
        <v>1</v>
      </c>
    </row>
    <row r="63" spans="1:48" hidden="1">
      <c r="A63" s="282">
        <v>2013</v>
      </c>
      <c r="B63" s="194"/>
      <c r="C63" s="479"/>
      <c r="D63" s="479"/>
      <c r="E63" s="479"/>
      <c r="F63" s="480"/>
      <c r="G63" s="479">
        <v>5</v>
      </c>
      <c r="H63" s="282">
        <v>6</v>
      </c>
      <c r="I63" s="282">
        <v>850</v>
      </c>
      <c r="J63" s="282" t="s">
        <v>390</v>
      </c>
      <c r="K63" s="193" t="s">
        <v>402</v>
      </c>
      <c r="L63" s="283">
        <v>44805</v>
      </c>
      <c r="M63" s="284"/>
      <c r="N63" s="195" t="s">
        <v>142</v>
      </c>
      <c r="O63" s="466">
        <v>0</v>
      </c>
      <c r="P63" s="285">
        <v>45901</v>
      </c>
      <c r="Q63" s="285">
        <v>46022</v>
      </c>
      <c r="R63" s="288">
        <v>1</v>
      </c>
    </row>
    <row r="64" spans="1:48" hidden="1">
      <c r="A64" s="282">
        <v>2013</v>
      </c>
      <c r="B64" s="194"/>
      <c r="C64" s="479"/>
      <c r="D64" s="479"/>
      <c r="E64" s="479"/>
      <c r="F64" s="480"/>
      <c r="G64" s="479">
        <v>6</v>
      </c>
      <c r="H64" s="282">
        <v>7</v>
      </c>
      <c r="I64" s="282">
        <v>850</v>
      </c>
      <c r="J64" s="282" t="s">
        <v>390</v>
      </c>
      <c r="K64" s="193" t="s">
        <v>402</v>
      </c>
      <c r="L64" s="283">
        <v>44440</v>
      </c>
      <c r="M64" s="284">
        <v>45900</v>
      </c>
      <c r="N64" s="195" t="s">
        <v>142</v>
      </c>
      <c r="O64" s="466">
        <v>0</v>
      </c>
      <c r="P64" s="285" t="s">
        <v>399</v>
      </c>
      <c r="Q64" s="285" t="s">
        <v>399</v>
      </c>
      <c r="R64" s="288">
        <v>0</v>
      </c>
    </row>
    <row r="65" spans="1:41" hidden="1">
      <c r="A65" s="282">
        <v>2013</v>
      </c>
      <c r="B65" s="194"/>
      <c r="C65" s="479"/>
      <c r="D65" s="479"/>
      <c r="E65" s="479"/>
      <c r="F65" s="480"/>
      <c r="G65" s="479">
        <v>5</v>
      </c>
      <c r="H65" s="282">
        <v>6</v>
      </c>
      <c r="I65" s="282">
        <v>850</v>
      </c>
      <c r="J65" s="282" t="s">
        <v>390</v>
      </c>
      <c r="K65" s="193" t="s">
        <v>403</v>
      </c>
      <c r="L65" s="283">
        <v>44805</v>
      </c>
      <c r="M65" s="284"/>
      <c r="N65" s="195" t="s">
        <v>143</v>
      </c>
      <c r="O65" s="466">
        <v>0</v>
      </c>
      <c r="P65" s="285">
        <v>45901</v>
      </c>
      <c r="Q65" s="285">
        <v>46022</v>
      </c>
      <c r="R65" s="288">
        <v>1</v>
      </c>
      <c r="AA65" t="s">
        <v>380</v>
      </c>
      <c r="AB65" s="15">
        <v>850</v>
      </c>
    </row>
    <row r="66" spans="1:41" ht="36.75" hidden="1" customHeight="1" thickBot="1">
      <c r="A66" s="193">
        <v>2013</v>
      </c>
      <c r="B66" s="194"/>
      <c r="C66" s="193"/>
      <c r="D66" s="193"/>
      <c r="E66" s="193"/>
      <c r="F66" s="283"/>
      <c r="G66" s="193">
        <v>3</v>
      </c>
      <c r="H66" s="282">
        <v>4</v>
      </c>
      <c r="I66" s="193">
        <v>850</v>
      </c>
      <c r="J66" s="193" t="s">
        <v>390</v>
      </c>
      <c r="K66" s="282" t="s">
        <v>402</v>
      </c>
      <c r="L66" s="283">
        <v>45536</v>
      </c>
      <c r="M66" s="281"/>
      <c r="N66" s="195" t="s">
        <v>142</v>
      </c>
      <c r="O66" s="466">
        <v>0</v>
      </c>
      <c r="P66" s="285">
        <v>45901</v>
      </c>
      <c r="Q66" s="285">
        <v>46022</v>
      </c>
      <c r="R66" s="288">
        <v>1</v>
      </c>
      <c r="AA66" s="648" t="s">
        <v>74</v>
      </c>
      <c r="AB66" s="649"/>
      <c r="AC66" s="649"/>
      <c r="AD66" s="649"/>
      <c r="AE66" s="649"/>
      <c r="AF66" s="649"/>
      <c r="AG66" s="649"/>
      <c r="AH66" s="649"/>
      <c r="AI66" s="649"/>
      <c r="AJ66" s="649"/>
      <c r="AK66" s="649"/>
      <c r="AL66" s="649"/>
      <c r="AM66" s="649"/>
      <c r="AN66" s="649"/>
      <c r="AO66" s="650"/>
    </row>
    <row r="67" spans="1:41" hidden="1">
      <c r="A67" s="193">
        <v>2013</v>
      </c>
      <c r="B67" s="194"/>
      <c r="C67" s="193"/>
      <c r="D67" s="193"/>
      <c r="E67" s="193"/>
      <c r="F67" s="283"/>
      <c r="G67" s="193">
        <v>6</v>
      </c>
      <c r="H67" s="282">
        <v>7</v>
      </c>
      <c r="I67" s="193">
        <v>850</v>
      </c>
      <c r="J67" s="193" t="s">
        <v>390</v>
      </c>
      <c r="K67" s="282" t="s">
        <v>402</v>
      </c>
      <c r="L67" s="283">
        <v>44440</v>
      </c>
      <c r="M67" s="281">
        <v>45900</v>
      </c>
      <c r="N67" s="195" t="s">
        <v>142</v>
      </c>
      <c r="O67" s="466">
        <v>0</v>
      </c>
      <c r="P67" s="285" t="s">
        <v>399</v>
      </c>
      <c r="Q67" s="285" t="s">
        <v>399</v>
      </c>
      <c r="R67" s="288">
        <v>0</v>
      </c>
      <c r="AA67" t="s">
        <v>392</v>
      </c>
      <c r="AB67" s="16" t="s">
        <v>393</v>
      </c>
      <c r="AM67"/>
      <c r="AN67"/>
      <c r="AO67"/>
    </row>
    <row r="68" spans="1:41" hidden="1">
      <c r="A68" s="193">
        <v>2013</v>
      </c>
      <c r="B68" s="194"/>
      <c r="C68" s="193"/>
      <c r="D68" s="193"/>
      <c r="E68" s="193"/>
      <c r="F68" s="283"/>
      <c r="G68" s="193">
        <v>3</v>
      </c>
      <c r="H68" s="282">
        <v>4</v>
      </c>
      <c r="I68" s="193">
        <v>850</v>
      </c>
      <c r="J68" s="193" t="s">
        <v>390</v>
      </c>
      <c r="K68" s="282" t="s">
        <v>402</v>
      </c>
      <c r="L68" s="283">
        <v>45536</v>
      </c>
      <c r="M68" s="281"/>
      <c r="N68" s="195" t="s">
        <v>142</v>
      </c>
      <c r="O68" s="466">
        <v>0</v>
      </c>
      <c r="P68" s="285">
        <v>45901</v>
      </c>
      <c r="Q68" s="285">
        <v>46022</v>
      </c>
      <c r="R68" s="288">
        <v>1</v>
      </c>
      <c r="AA68" t="s">
        <v>394</v>
      </c>
      <c r="AB68" s="16" t="s">
        <v>215</v>
      </c>
      <c r="AC68" s="16" t="s">
        <v>143</v>
      </c>
      <c r="AD68" s="16" t="s">
        <v>221</v>
      </c>
      <c r="AE68" s="16" t="s">
        <v>220</v>
      </c>
      <c r="AF68" s="16" t="s">
        <v>130</v>
      </c>
      <c r="AG68" s="16" t="s">
        <v>142</v>
      </c>
      <c r="AH68" s="16" t="s">
        <v>213</v>
      </c>
      <c r="AI68" s="16" t="s">
        <v>218</v>
      </c>
      <c r="AJ68" s="16" t="s">
        <v>214</v>
      </c>
      <c r="AK68" s="16" t="s">
        <v>141</v>
      </c>
      <c r="AL68" s="16" t="s">
        <v>330</v>
      </c>
      <c r="AM68"/>
      <c r="AN68"/>
      <c r="AO68" s="16" t="s">
        <v>395</v>
      </c>
    </row>
    <row r="69" spans="1:41" hidden="1">
      <c r="A69" s="282">
        <v>2013</v>
      </c>
      <c r="B69" s="194"/>
      <c r="C69" s="282"/>
      <c r="D69" s="282"/>
      <c r="E69" s="282"/>
      <c r="F69" s="283"/>
      <c r="G69" s="282">
        <v>4</v>
      </c>
      <c r="H69" s="282">
        <v>5</v>
      </c>
      <c r="I69" s="282">
        <v>850</v>
      </c>
      <c r="J69" s="282" t="s">
        <v>390</v>
      </c>
      <c r="K69" s="282" t="s">
        <v>402</v>
      </c>
      <c r="L69" s="283">
        <v>45170</v>
      </c>
      <c r="M69" s="284"/>
      <c r="N69" s="195" t="s">
        <v>142</v>
      </c>
      <c r="O69" s="466">
        <v>0</v>
      </c>
      <c r="P69" s="285">
        <v>45901</v>
      </c>
      <c r="Q69" s="285">
        <v>46022</v>
      </c>
      <c r="R69" s="288">
        <v>1</v>
      </c>
      <c r="AA69" s="15">
        <v>2005</v>
      </c>
      <c r="AH69" s="16">
        <v>32</v>
      </c>
      <c r="AL69" s="478">
        <v>32</v>
      </c>
      <c r="AM69"/>
      <c r="AN69"/>
      <c r="AO69">
        <f>COUNTIFS(AB69:AK69,"&lt;&gt;0",AB69:AK69,"&lt;&gt;")</f>
        <v>1</v>
      </c>
    </row>
    <row r="70" spans="1:41" hidden="1">
      <c r="A70" s="282">
        <v>2013</v>
      </c>
      <c r="B70" s="194"/>
      <c r="C70" s="282"/>
      <c r="D70" s="282"/>
      <c r="E70" s="282"/>
      <c r="F70" s="283"/>
      <c r="G70" s="282">
        <v>3</v>
      </c>
      <c r="H70" s="282">
        <v>4</v>
      </c>
      <c r="I70" s="282">
        <v>850</v>
      </c>
      <c r="J70" s="282" t="s">
        <v>390</v>
      </c>
      <c r="K70" s="282" t="s">
        <v>403</v>
      </c>
      <c r="L70" s="283">
        <v>45536</v>
      </c>
      <c r="M70" s="281"/>
      <c r="N70" s="195" t="s">
        <v>143</v>
      </c>
      <c r="O70" s="466">
        <v>0</v>
      </c>
      <c r="P70" s="285">
        <v>45901</v>
      </c>
      <c r="Q70" s="285">
        <v>46022</v>
      </c>
      <c r="R70" s="288">
        <v>1</v>
      </c>
      <c r="AA70" s="15">
        <v>2011</v>
      </c>
      <c r="AJ70" s="16">
        <v>0</v>
      </c>
      <c r="AL70" s="478">
        <v>0</v>
      </c>
      <c r="AM70"/>
      <c r="AN70"/>
      <c r="AO70">
        <f t="shared" ref="AO70:AO120" si="10">COUNTIFS(AB70:AK70,"&lt;&gt;0",AB70:AK70,"&lt;&gt;")</f>
        <v>0</v>
      </c>
    </row>
    <row r="71" spans="1:41" hidden="1">
      <c r="A71" s="282">
        <v>2013</v>
      </c>
      <c r="B71" s="194"/>
      <c r="C71" s="282"/>
      <c r="D71" s="282"/>
      <c r="E71" s="282"/>
      <c r="F71" s="283"/>
      <c r="G71" s="282">
        <v>3</v>
      </c>
      <c r="H71" s="282">
        <v>4</v>
      </c>
      <c r="I71" s="282">
        <v>850</v>
      </c>
      <c r="J71" s="282" t="s">
        <v>390</v>
      </c>
      <c r="K71" s="282" t="s">
        <v>402</v>
      </c>
      <c r="L71" s="283">
        <v>45536</v>
      </c>
      <c r="M71" s="284"/>
      <c r="N71" s="195" t="s">
        <v>142</v>
      </c>
      <c r="O71" s="466">
        <v>0</v>
      </c>
      <c r="P71" s="285">
        <v>45901</v>
      </c>
      <c r="Q71" s="285">
        <v>46022</v>
      </c>
      <c r="R71" s="288">
        <v>1</v>
      </c>
      <c r="AA71" s="15">
        <v>2013</v>
      </c>
      <c r="AC71" s="16">
        <v>3</v>
      </c>
      <c r="AG71" s="16">
        <v>20</v>
      </c>
      <c r="AL71" s="478">
        <v>23</v>
      </c>
      <c r="AM71"/>
      <c r="AN71"/>
      <c r="AO71">
        <f t="shared" si="10"/>
        <v>2</v>
      </c>
    </row>
    <row r="72" spans="1:41" hidden="1">
      <c r="A72" s="282">
        <v>2013</v>
      </c>
      <c r="B72" s="194"/>
      <c r="C72" s="282"/>
      <c r="D72" s="282"/>
      <c r="E72" s="282"/>
      <c r="F72" s="283"/>
      <c r="G72" s="282">
        <v>3</v>
      </c>
      <c r="H72" s="282">
        <v>4</v>
      </c>
      <c r="I72" s="282">
        <v>850</v>
      </c>
      <c r="J72" s="282" t="s">
        <v>390</v>
      </c>
      <c r="K72" s="282" t="s">
        <v>402</v>
      </c>
      <c r="L72" s="283">
        <v>45536</v>
      </c>
      <c r="M72" s="284"/>
      <c r="N72" s="195" t="s">
        <v>142</v>
      </c>
      <c r="O72" s="466">
        <v>0</v>
      </c>
      <c r="P72" s="285">
        <v>45901</v>
      </c>
      <c r="Q72" s="285">
        <v>46022</v>
      </c>
      <c r="R72" s="288">
        <v>1</v>
      </c>
      <c r="AA72" s="15">
        <v>2018</v>
      </c>
      <c r="AG72" s="16">
        <v>14</v>
      </c>
      <c r="AL72" s="478">
        <v>14</v>
      </c>
      <c r="AM72"/>
      <c r="AN72"/>
      <c r="AO72">
        <f t="shared" si="10"/>
        <v>1</v>
      </c>
    </row>
    <row r="73" spans="1:41" hidden="1">
      <c r="A73" s="282">
        <v>2018</v>
      </c>
      <c r="B73" s="194"/>
      <c r="C73" s="479"/>
      <c r="D73" s="479"/>
      <c r="E73" s="479"/>
      <c r="F73" s="480"/>
      <c r="G73" s="479">
        <v>5</v>
      </c>
      <c r="H73" s="282">
        <v>6</v>
      </c>
      <c r="I73" s="282">
        <v>850</v>
      </c>
      <c r="J73" s="282" t="s">
        <v>390</v>
      </c>
      <c r="K73" s="282" t="s">
        <v>404</v>
      </c>
      <c r="L73" s="283">
        <v>44805</v>
      </c>
      <c r="M73" s="284"/>
      <c r="N73" s="467" t="s">
        <v>142</v>
      </c>
      <c r="O73" s="466">
        <v>0</v>
      </c>
      <c r="P73" s="285">
        <v>45901</v>
      </c>
      <c r="Q73" s="285">
        <v>46022</v>
      </c>
      <c r="R73" s="288">
        <v>1</v>
      </c>
      <c r="AA73" s="15">
        <v>2057</v>
      </c>
      <c r="AF73" s="16">
        <v>9</v>
      </c>
      <c r="AK73" s="16">
        <v>18</v>
      </c>
      <c r="AL73" s="478">
        <v>27</v>
      </c>
      <c r="AM73"/>
      <c r="AN73"/>
      <c r="AO73">
        <f t="shared" si="10"/>
        <v>2</v>
      </c>
    </row>
    <row r="74" spans="1:41" hidden="1">
      <c r="A74" s="282">
        <v>2018</v>
      </c>
      <c r="B74" s="194"/>
      <c r="C74" s="282"/>
      <c r="D74" s="282"/>
      <c r="E74" s="282"/>
      <c r="F74" s="283"/>
      <c r="G74" s="193">
        <v>4</v>
      </c>
      <c r="H74" s="282">
        <v>5</v>
      </c>
      <c r="I74" s="282">
        <v>850</v>
      </c>
      <c r="J74" s="282" t="s">
        <v>390</v>
      </c>
      <c r="K74" s="282" t="s">
        <v>404</v>
      </c>
      <c r="L74" s="283">
        <v>45170</v>
      </c>
      <c r="M74" s="281"/>
      <c r="N74" s="467" t="s">
        <v>142</v>
      </c>
      <c r="O74" s="466">
        <v>0</v>
      </c>
      <c r="P74" s="285">
        <v>45901</v>
      </c>
      <c r="Q74" s="285">
        <v>46022</v>
      </c>
      <c r="R74" s="288">
        <v>1</v>
      </c>
      <c r="AA74" s="15">
        <v>2062</v>
      </c>
      <c r="AF74" s="16">
        <v>8.26</v>
      </c>
      <c r="AL74" s="478">
        <v>8.26</v>
      </c>
      <c r="AM74"/>
      <c r="AN74"/>
      <c r="AO74">
        <f t="shared" si="10"/>
        <v>1</v>
      </c>
    </row>
    <row r="75" spans="1:41" hidden="1">
      <c r="A75" s="193">
        <v>2018</v>
      </c>
      <c r="B75" s="194"/>
      <c r="C75" s="193"/>
      <c r="D75" s="193"/>
      <c r="E75" s="193"/>
      <c r="F75" s="283"/>
      <c r="G75" s="193">
        <v>3</v>
      </c>
      <c r="H75" s="282">
        <v>4</v>
      </c>
      <c r="I75" s="193">
        <v>850</v>
      </c>
      <c r="J75" s="193" t="s">
        <v>390</v>
      </c>
      <c r="K75" s="193" t="s">
        <v>404</v>
      </c>
      <c r="L75" s="283">
        <v>45536</v>
      </c>
      <c r="M75" s="281"/>
      <c r="N75" s="195" t="s">
        <v>142</v>
      </c>
      <c r="O75" s="466">
        <v>0</v>
      </c>
      <c r="P75" s="285">
        <v>45901</v>
      </c>
      <c r="Q75" s="285">
        <v>46022</v>
      </c>
      <c r="R75" s="288">
        <v>1</v>
      </c>
      <c r="AA75" s="15">
        <v>2103</v>
      </c>
      <c r="AF75" s="16">
        <v>7</v>
      </c>
      <c r="AL75" s="478">
        <v>7</v>
      </c>
      <c r="AM75"/>
      <c r="AN75"/>
      <c r="AO75">
        <f t="shared" si="10"/>
        <v>1</v>
      </c>
    </row>
    <row r="76" spans="1:41" hidden="1">
      <c r="A76" s="193">
        <v>2018</v>
      </c>
      <c r="B76" s="194"/>
      <c r="C76" s="193"/>
      <c r="D76" s="193"/>
      <c r="E76" s="193"/>
      <c r="F76" s="283"/>
      <c r="G76" s="193">
        <v>2</v>
      </c>
      <c r="H76" s="282">
        <v>3</v>
      </c>
      <c r="I76" s="193">
        <v>850</v>
      </c>
      <c r="J76" s="193" t="s">
        <v>390</v>
      </c>
      <c r="K76" s="193" t="s">
        <v>405</v>
      </c>
      <c r="L76" s="283">
        <v>45901</v>
      </c>
      <c r="M76" s="281"/>
      <c r="N76" s="195" t="s">
        <v>142</v>
      </c>
      <c r="O76" s="466">
        <v>0</v>
      </c>
      <c r="P76" s="285">
        <v>45901</v>
      </c>
      <c r="Q76" s="285">
        <v>46022</v>
      </c>
      <c r="R76" s="288">
        <v>1</v>
      </c>
      <c r="AA76" s="15">
        <v>2111</v>
      </c>
      <c r="AH76" s="16">
        <v>7</v>
      </c>
      <c r="AK76" s="16">
        <v>12</v>
      </c>
      <c r="AL76" s="478">
        <v>19</v>
      </c>
      <c r="AM76"/>
      <c r="AN76"/>
      <c r="AO76">
        <f t="shared" si="10"/>
        <v>2</v>
      </c>
    </row>
    <row r="77" spans="1:41" hidden="1">
      <c r="A77" s="193">
        <v>2018</v>
      </c>
      <c r="B77" s="194"/>
      <c r="C77" s="193"/>
      <c r="D77" s="193"/>
      <c r="E77" s="193"/>
      <c r="F77" s="283"/>
      <c r="G77" s="193">
        <v>1</v>
      </c>
      <c r="H77" s="282">
        <v>2</v>
      </c>
      <c r="I77" s="193">
        <v>850</v>
      </c>
      <c r="J77" s="193" t="s">
        <v>390</v>
      </c>
      <c r="K77" s="282" t="s">
        <v>405</v>
      </c>
      <c r="L77" s="283">
        <v>45170</v>
      </c>
      <c r="M77" s="281"/>
      <c r="N77" s="195" t="s">
        <v>142</v>
      </c>
      <c r="O77" s="466">
        <v>0</v>
      </c>
      <c r="P77" s="285">
        <v>45901</v>
      </c>
      <c r="Q77" s="285">
        <v>46022</v>
      </c>
      <c r="R77" s="288">
        <v>1</v>
      </c>
      <c r="AA77" s="15">
        <v>2127</v>
      </c>
      <c r="AC77" s="16">
        <v>8</v>
      </c>
      <c r="AL77" s="478">
        <v>8</v>
      </c>
      <c r="AM77"/>
      <c r="AN77"/>
      <c r="AO77">
        <f t="shared" si="10"/>
        <v>1</v>
      </c>
    </row>
    <row r="78" spans="1:41" hidden="1">
      <c r="A78" s="193">
        <v>2018</v>
      </c>
      <c r="B78" s="194"/>
      <c r="C78" s="193"/>
      <c r="D78" s="193"/>
      <c r="E78" s="193"/>
      <c r="F78" s="283"/>
      <c r="G78" s="193">
        <v>4</v>
      </c>
      <c r="H78" s="282">
        <v>5</v>
      </c>
      <c r="I78" s="193">
        <v>850</v>
      </c>
      <c r="J78" s="193" t="s">
        <v>390</v>
      </c>
      <c r="K78" s="282" t="s">
        <v>404</v>
      </c>
      <c r="L78" s="283">
        <v>45170</v>
      </c>
      <c r="M78" s="281"/>
      <c r="N78" s="195" t="s">
        <v>142</v>
      </c>
      <c r="O78" s="466">
        <v>0</v>
      </c>
      <c r="P78" s="285">
        <v>45901</v>
      </c>
      <c r="Q78" s="285">
        <v>46022</v>
      </c>
      <c r="R78" s="288">
        <v>1</v>
      </c>
      <c r="AA78" s="15">
        <v>2220</v>
      </c>
      <c r="AG78" s="16">
        <v>9</v>
      </c>
      <c r="AL78" s="478">
        <v>9</v>
      </c>
      <c r="AM78"/>
      <c r="AN78"/>
      <c r="AO78">
        <f t="shared" si="10"/>
        <v>1</v>
      </c>
    </row>
    <row r="79" spans="1:41" hidden="1">
      <c r="A79" s="193">
        <v>2018</v>
      </c>
      <c r="B79" s="194"/>
      <c r="C79" s="193"/>
      <c r="D79" s="193"/>
      <c r="E79" s="193"/>
      <c r="F79" s="283"/>
      <c r="G79" s="193">
        <v>3</v>
      </c>
      <c r="H79" s="282">
        <v>4</v>
      </c>
      <c r="I79" s="193">
        <v>850</v>
      </c>
      <c r="J79" s="193" t="s">
        <v>390</v>
      </c>
      <c r="K79" s="193" t="s">
        <v>405</v>
      </c>
      <c r="L79" s="283">
        <v>44440</v>
      </c>
      <c r="M79" s="281"/>
      <c r="N79" s="195" t="s">
        <v>142</v>
      </c>
      <c r="O79" s="466">
        <v>0</v>
      </c>
      <c r="P79" s="285">
        <v>45901</v>
      </c>
      <c r="Q79" s="285">
        <v>46022</v>
      </c>
      <c r="R79" s="288">
        <v>1</v>
      </c>
      <c r="AA79" s="15">
        <v>2228</v>
      </c>
      <c r="AC79" s="16">
        <v>0</v>
      </c>
      <c r="AG79" s="16">
        <v>23</v>
      </c>
      <c r="AL79" s="478">
        <v>23</v>
      </c>
      <c r="AM79"/>
      <c r="AN79"/>
      <c r="AO79">
        <f t="shared" si="10"/>
        <v>1</v>
      </c>
    </row>
    <row r="80" spans="1:41" hidden="1">
      <c r="A80" s="282">
        <v>2018</v>
      </c>
      <c r="B80" s="194"/>
      <c r="C80" s="479"/>
      <c r="D80" s="479"/>
      <c r="E80" s="479"/>
      <c r="F80" s="480"/>
      <c r="G80" s="479">
        <v>5</v>
      </c>
      <c r="H80" s="282">
        <v>6</v>
      </c>
      <c r="I80" s="282">
        <v>850</v>
      </c>
      <c r="J80" s="282" t="s">
        <v>390</v>
      </c>
      <c r="K80" s="282" t="s">
        <v>404</v>
      </c>
      <c r="L80" s="283">
        <v>44805</v>
      </c>
      <c r="M80" s="284"/>
      <c r="N80" s="467" t="s">
        <v>142</v>
      </c>
      <c r="O80" s="466">
        <v>0</v>
      </c>
      <c r="P80" s="285">
        <v>45901</v>
      </c>
      <c r="Q80" s="285">
        <v>46022</v>
      </c>
      <c r="R80" s="288">
        <v>1</v>
      </c>
      <c r="AA80" s="15">
        <v>2237</v>
      </c>
      <c r="AG80" s="16">
        <v>7</v>
      </c>
      <c r="AL80" s="478">
        <v>7</v>
      </c>
      <c r="AM80"/>
      <c r="AN80"/>
      <c r="AO80">
        <f t="shared" si="10"/>
        <v>1</v>
      </c>
    </row>
    <row r="81" spans="1:41" hidden="1">
      <c r="A81" s="193">
        <v>2018</v>
      </c>
      <c r="B81" s="194"/>
      <c r="C81" s="193"/>
      <c r="D81" s="193"/>
      <c r="E81" s="193"/>
      <c r="F81" s="283"/>
      <c r="G81" s="193">
        <v>-1</v>
      </c>
      <c r="H81" s="282">
        <v>0</v>
      </c>
      <c r="I81" s="193">
        <v>850</v>
      </c>
      <c r="J81" s="193" t="s">
        <v>390</v>
      </c>
      <c r="K81" s="193" t="s">
        <v>405</v>
      </c>
      <c r="L81" s="283">
        <v>45901</v>
      </c>
      <c r="M81" s="281"/>
      <c r="N81" s="195" t="s">
        <v>142</v>
      </c>
      <c r="O81" s="466">
        <v>0</v>
      </c>
      <c r="P81" s="285">
        <v>45901</v>
      </c>
      <c r="Q81" s="285">
        <v>46022</v>
      </c>
      <c r="R81" s="288">
        <v>1</v>
      </c>
      <c r="AA81" s="15">
        <v>2291</v>
      </c>
      <c r="AC81" s="16">
        <v>7</v>
      </c>
      <c r="AL81" s="478">
        <v>7</v>
      </c>
      <c r="AM81"/>
      <c r="AN81"/>
      <c r="AO81">
        <f t="shared" si="10"/>
        <v>1</v>
      </c>
    </row>
    <row r="82" spans="1:41" hidden="1">
      <c r="A82" s="193">
        <v>2018</v>
      </c>
      <c r="B82" s="194"/>
      <c r="C82" s="193"/>
      <c r="D82" s="193"/>
      <c r="E82" s="193"/>
      <c r="F82" s="283"/>
      <c r="G82" s="193">
        <v>2</v>
      </c>
      <c r="H82" s="282">
        <v>3</v>
      </c>
      <c r="I82" s="193">
        <v>850</v>
      </c>
      <c r="J82" s="193" t="s">
        <v>390</v>
      </c>
      <c r="K82" s="193" t="s">
        <v>405</v>
      </c>
      <c r="L82" s="283">
        <v>45536</v>
      </c>
      <c r="M82" s="281">
        <v>45900</v>
      </c>
      <c r="N82" s="195" t="s">
        <v>142</v>
      </c>
      <c r="O82" s="466">
        <v>0</v>
      </c>
      <c r="P82" s="285" t="s">
        <v>399</v>
      </c>
      <c r="Q82" s="285" t="s">
        <v>399</v>
      </c>
      <c r="R82" s="288">
        <v>0</v>
      </c>
      <c r="AA82" s="15">
        <v>2347</v>
      </c>
      <c r="AJ82" s="16">
        <v>8</v>
      </c>
      <c r="AL82" s="478">
        <v>8</v>
      </c>
      <c r="AM82"/>
      <c r="AN82"/>
      <c r="AO82">
        <f t="shared" si="10"/>
        <v>1</v>
      </c>
    </row>
    <row r="83" spans="1:41" hidden="1">
      <c r="A83" s="193">
        <v>2018</v>
      </c>
      <c r="B83" s="194"/>
      <c r="C83" s="193"/>
      <c r="D83" s="193"/>
      <c r="E83" s="193"/>
      <c r="F83" s="283"/>
      <c r="G83" s="193">
        <v>2</v>
      </c>
      <c r="H83" s="282">
        <v>3</v>
      </c>
      <c r="I83" s="193">
        <v>850</v>
      </c>
      <c r="J83" s="193" t="s">
        <v>390</v>
      </c>
      <c r="K83" s="193" t="s">
        <v>404</v>
      </c>
      <c r="L83" s="283">
        <v>45901</v>
      </c>
      <c r="M83" s="281"/>
      <c r="N83" s="195" t="s">
        <v>142</v>
      </c>
      <c r="O83" s="466">
        <v>0</v>
      </c>
      <c r="P83" s="285">
        <v>45901</v>
      </c>
      <c r="Q83" s="285">
        <v>46022</v>
      </c>
      <c r="R83" s="288">
        <v>1</v>
      </c>
      <c r="AA83" s="15">
        <v>2377</v>
      </c>
      <c r="AC83" s="16">
        <v>10</v>
      </c>
      <c r="AL83" s="478">
        <v>10</v>
      </c>
      <c r="AM83"/>
      <c r="AN83"/>
      <c r="AO83">
        <f t="shared" si="10"/>
        <v>1</v>
      </c>
    </row>
    <row r="84" spans="1:41" hidden="1">
      <c r="A84" s="282">
        <v>2018</v>
      </c>
      <c r="B84" s="194"/>
      <c r="C84" s="479"/>
      <c r="D84" s="479"/>
      <c r="E84" s="479"/>
      <c r="F84" s="480"/>
      <c r="G84" s="479">
        <v>5</v>
      </c>
      <c r="H84" s="282">
        <v>6</v>
      </c>
      <c r="I84" s="282">
        <v>850</v>
      </c>
      <c r="J84" s="282" t="s">
        <v>390</v>
      </c>
      <c r="K84" s="282" t="s">
        <v>404</v>
      </c>
      <c r="L84" s="283">
        <v>44805</v>
      </c>
      <c r="M84" s="284"/>
      <c r="N84" s="467" t="s">
        <v>142</v>
      </c>
      <c r="O84" s="466">
        <v>0</v>
      </c>
      <c r="P84" s="285">
        <v>45901</v>
      </c>
      <c r="Q84" s="285">
        <v>46022</v>
      </c>
      <c r="R84" s="288">
        <v>1</v>
      </c>
      <c r="AA84" s="15">
        <v>2520</v>
      </c>
      <c r="AB84" s="16">
        <v>3</v>
      </c>
      <c r="AL84" s="478">
        <v>3</v>
      </c>
      <c r="AM84"/>
      <c r="AN84"/>
      <c r="AO84">
        <f t="shared" si="10"/>
        <v>1</v>
      </c>
    </row>
    <row r="85" spans="1:41" hidden="1">
      <c r="A85" s="282">
        <v>2018</v>
      </c>
      <c r="B85" s="194"/>
      <c r="C85" s="479"/>
      <c r="D85" s="479"/>
      <c r="E85" s="479"/>
      <c r="F85" s="480"/>
      <c r="G85" s="479">
        <v>4</v>
      </c>
      <c r="H85" s="282">
        <v>5</v>
      </c>
      <c r="I85" s="282">
        <v>850</v>
      </c>
      <c r="J85" s="282" t="s">
        <v>390</v>
      </c>
      <c r="K85" s="282" t="s">
        <v>404</v>
      </c>
      <c r="L85" s="283">
        <v>45901</v>
      </c>
      <c r="M85" s="284"/>
      <c r="N85" s="467" t="s">
        <v>142</v>
      </c>
      <c r="O85" s="466">
        <v>0</v>
      </c>
      <c r="P85" s="285">
        <v>45901</v>
      </c>
      <c r="Q85" s="285">
        <v>46022</v>
      </c>
      <c r="R85" s="288">
        <v>1</v>
      </c>
      <c r="AA85" s="15">
        <v>2531</v>
      </c>
      <c r="AC85" s="16">
        <v>19</v>
      </c>
      <c r="AL85" s="478">
        <v>19</v>
      </c>
      <c r="AM85"/>
      <c r="AN85"/>
      <c r="AO85">
        <f t="shared" si="10"/>
        <v>1</v>
      </c>
    </row>
    <row r="86" spans="1:41" hidden="1">
      <c r="A86" s="282">
        <v>2018</v>
      </c>
      <c r="B86" s="194"/>
      <c r="C86" s="479"/>
      <c r="D86" s="479"/>
      <c r="E86" s="479"/>
      <c r="F86" s="480"/>
      <c r="G86" s="479">
        <v>1</v>
      </c>
      <c r="H86" s="282">
        <v>2</v>
      </c>
      <c r="I86" s="282">
        <v>850</v>
      </c>
      <c r="J86" s="282" t="s">
        <v>390</v>
      </c>
      <c r="K86" s="193" t="s">
        <v>405</v>
      </c>
      <c r="L86" s="283">
        <v>45170</v>
      </c>
      <c r="M86" s="281"/>
      <c r="N86" s="195" t="s">
        <v>142</v>
      </c>
      <c r="O86" s="466">
        <v>0</v>
      </c>
      <c r="P86" s="285">
        <v>45901</v>
      </c>
      <c r="Q86" s="285">
        <v>46022</v>
      </c>
      <c r="R86" s="288">
        <v>1</v>
      </c>
      <c r="AA86" s="15">
        <v>2533</v>
      </c>
      <c r="AG86" s="16">
        <v>9</v>
      </c>
      <c r="AK86" s="16">
        <v>5</v>
      </c>
      <c r="AL86" s="478">
        <v>14</v>
      </c>
      <c r="AM86"/>
      <c r="AN86"/>
      <c r="AO86">
        <f t="shared" si="10"/>
        <v>2</v>
      </c>
    </row>
    <row r="87" spans="1:41" hidden="1">
      <c r="A87" s="282">
        <v>2018</v>
      </c>
      <c r="B87" s="194"/>
      <c r="C87" s="479"/>
      <c r="D87" s="479"/>
      <c r="E87" s="479"/>
      <c r="F87" s="480"/>
      <c r="G87" s="479">
        <v>-1</v>
      </c>
      <c r="H87" s="282">
        <v>0</v>
      </c>
      <c r="I87" s="282">
        <v>850</v>
      </c>
      <c r="J87" s="282" t="s">
        <v>390</v>
      </c>
      <c r="K87" s="193" t="s">
        <v>405</v>
      </c>
      <c r="L87" s="283">
        <v>45901</v>
      </c>
      <c r="M87" s="281"/>
      <c r="N87" s="195" t="s">
        <v>142</v>
      </c>
      <c r="O87" s="466">
        <v>0</v>
      </c>
      <c r="P87" s="285">
        <v>45901</v>
      </c>
      <c r="Q87" s="285">
        <v>46022</v>
      </c>
      <c r="R87" s="288">
        <v>1</v>
      </c>
      <c r="AA87" s="15">
        <v>2534</v>
      </c>
      <c r="AG87" s="16">
        <v>8</v>
      </c>
      <c r="AK87" s="16">
        <v>5</v>
      </c>
      <c r="AL87" s="478">
        <v>13</v>
      </c>
      <c r="AM87"/>
      <c r="AN87"/>
      <c r="AO87">
        <f t="shared" si="10"/>
        <v>2</v>
      </c>
    </row>
    <row r="88" spans="1:41" hidden="1">
      <c r="A88" s="193">
        <v>2018</v>
      </c>
      <c r="B88" s="194"/>
      <c r="C88" s="193"/>
      <c r="D88" s="193"/>
      <c r="E88" s="281"/>
      <c r="F88" s="283"/>
      <c r="G88" s="193">
        <v>2</v>
      </c>
      <c r="H88" s="282">
        <v>3</v>
      </c>
      <c r="I88" s="193">
        <v>850</v>
      </c>
      <c r="J88" s="193" t="s">
        <v>390</v>
      </c>
      <c r="K88" s="193" t="s">
        <v>405</v>
      </c>
      <c r="L88" s="283">
        <v>44805</v>
      </c>
      <c r="M88" s="284">
        <v>45900</v>
      </c>
      <c r="N88" s="195" t="s">
        <v>142</v>
      </c>
      <c r="O88" s="466">
        <v>0</v>
      </c>
      <c r="P88" s="285" t="s">
        <v>399</v>
      </c>
      <c r="Q88" s="285" t="s">
        <v>399</v>
      </c>
      <c r="R88" s="288">
        <v>0</v>
      </c>
      <c r="AA88" s="15">
        <v>2732</v>
      </c>
      <c r="AB88" s="16">
        <v>5</v>
      </c>
      <c r="AL88" s="478">
        <v>5</v>
      </c>
      <c r="AM88"/>
      <c r="AN88"/>
      <c r="AO88">
        <f t="shared" si="10"/>
        <v>1</v>
      </c>
    </row>
    <row r="89" spans="1:41" hidden="1">
      <c r="A89" s="193">
        <v>2339</v>
      </c>
      <c r="B89" s="194"/>
      <c r="C89" s="282"/>
      <c r="D89" s="282"/>
      <c r="E89" s="282"/>
      <c r="F89" s="283"/>
      <c r="G89" s="282">
        <v>3</v>
      </c>
      <c r="H89" s="282">
        <v>4</v>
      </c>
      <c r="I89" s="282">
        <v>850</v>
      </c>
      <c r="J89" s="282" t="s">
        <v>390</v>
      </c>
      <c r="K89" s="193" t="s">
        <v>406</v>
      </c>
      <c r="L89" s="283">
        <v>45901</v>
      </c>
      <c r="M89" s="281"/>
      <c r="N89" s="195" t="s">
        <v>141</v>
      </c>
      <c r="O89" s="466">
        <v>0</v>
      </c>
      <c r="P89" s="285">
        <v>45901</v>
      </c>
      <c r="Q89" s="285">
        <v>46022</v>
      </c>
      <c r="R89" s="288">
        <v>1</v>
      </c>
      <c r="AA89" s="15">
        <v>2774</v>
      </c>
      <c r="AG89" s="16">
        <v>16</v>
      </c>
      <c r="AK89" s="16">
        <v>7</v>
      </c>
      <c r="AL89" s="478">
        <v>23</v>
      </c>
      <c r="AM89"/>
      <c r="AN89"/>
      <c r="AO89">
        <f t="shared" si="10"/>
        <v>2</v>
      </c>
    </row>
    <row r="90" spans="1:41" hidden="1">
      <c r="A90" s="193">
        <v>2339</v>
      </c>
      <c r="B90" s="194"/>
      <c r="C90" s="282"/>
      <c r="D90" s="282"/>
      <c r="E90" s="282"/>
      <c r="F90" s="283"/>
      <c r="G90" s="282">
        <v>2</v>
      </c>
      <c r="H90" s="282">
        <v>3</v>
      </c>
      <c r="I90" s="282">
        <v>850</v>
      </c>
      <c r="J90" s="282" t="s">
        <v>390</v>
      </c>
      <c r="K90" s="193" t="s">
        <v>406</v>
      </c>
      <c r="L90" s="283">
        <v>45901</v>
      </c>
      <c r="M90" s="281"/>
      <c r="N90" s="195" t="s">
        <v>141</v>
      </c>
      <c r="O90" s="466">
        <v>0</v>
      </c>
      <c r="P90" s="285">
        <v>45901</v>
      </c>
      <c r="Q90" s="285">
        <v>46022</v>
      </c>
      <c r="R90" s="288">
        <v>1</v>
      </c>
      <c r="AA90" s="15">
        <v>2776</v>
      </c>
      <c r="AF90" s="16">
        <v>12</v>
      </c>
      <c r="AL90" s="478">
        <v>12</v>
      </c>
      <c r="AM90"/>
      <c r="AN90"/>
      <c r="AO90">
        <f t="shared" si="10"/>
        <v>1</v>
      </c>
    </row>
    <row r="91" spans="1:41" hidden="1">
      <c r="A91" s="193">
        <v>2045</v>
      </c>
      <c r="B91" s="194"/>
      <c r="C91" s="479"/>
      <c r="D91" s="479"/>
      <c r="E91" s="479"/>
      <c r="F91" s="480"/>
      <c r="G91" s="479">
        <v>4</v>
      </c>
      <c r="H91" s="282">
        <v>5</v>
      </c>
      <c r="I91" s="193">
        <v>850</v>
      </c>
      <c r="J91" s="193" t="s">
        <v>390</v>
      </c>
      <c r="K91" s="193" t="s">
        <v>407</v>
      </c>
      <c r="L91" s="283">
        <v>45854</v>
      </c>
      <c r="M91" s="281"/>
      <c r="N91" s="195" t="s">
        <v>130</v>
      </c>
      <c r="O91" s="466">
        <v>0</v>
      </c>
      <c r="P91" s="285">
        <v>45901</v>
      </c>
      <c r="Q91" s="285">
        <v>46022</v>
      </c>
      <c r="R91" s="288">
        <v>1</v>
      </c>
      <c r="AA91" s="15">
        <v>2777</v>
      </c>
      <c r="AG91" s="16">
        <v>4</v>
      </c>
      <c r="AK91" s="16">
        <v>23</v>
      </c>
      <c r="AL91" s="478">
        <v>27</v>
      </c>
      <c r="AM91"/>
      <c r="AN91"/>
      <c r="AO91">
        <f t="shared" si="10"/>
        <v>2</v>
      </c>
    </row>
    <row r="92" spans="1:41" hidden="1">
      <c r="A92" s="193">
        <v>2045</v>
      </c>
      <c r="B92" s="194"/>
      <c r="C92" s="479"/>
      <c r="D92" s="479"/>
      <c r="E92" s="479"/>
      <c r="F92" s="480"/>
      <c r="G92" s="479">
        <v>4</v>
      </c>
      <c r="H92" s="282">
        <v>5</v>
      </c>
      <c r="I92" s="193">
        <v>850</v>
      </c>
      <c r="J92" s="193" t="s">
        <v>390</v>
      </c>
      <c r="K92" s="193" t="s">
        <v>407</v>
      </c>
      <c r="L92" s="283">
        <v>45810</v>
      </c>
      <c r="M92" s="281"/>
      <c r="N92" s="195" t="s">
        <v>130</v>
      </c>
      <c r="O92" s="466">
        <v>0</v>
      </c>
      <c r="P92" s="285">
        <v>45901</v>
      </c>
      <c r="Q92" s="285">
        <v>46022</v>
      </c>
      <c r="R92" s="288">
        <v>1</v>
      </c>
      <c r="AA92" s="15">
        <v>3101</v>
      </c>
      <c r="AB92" s="16">
        <v>7</v>
      </c>
      <c r="AL92" s="478">
        <v>7</v>
      </c>
      <c r="AM92"/>
      <c r="AN92"/>
      <c r="AO92">
        <f t="shared" si="10"/>
        <v>1</v>
      </c>
    </row>
    <row r="93" spans="1:41" hidden="1">
      <c r="A93" s="193">
        <v>2045</v>
      </c>
      <c r="B93" s="194"/>
      <c r="C93" s="193"/>
      <c r="D93" s="193"/>
      <c r="E93" s="193"/>
      <c r="F93" s="283"/>
      <c r="G93" s="193">
        <v>3</v>
      </c>
      <c r="H93" s="282">
        <v>4</v>
      </c>
      <c r="I93" s="193">
        <v>850</v>
      </c>
      <c r="J93" s="193" t="s">
        <v>390</v>
      </c>
      <c r="K93" s="193" t="s">
        <v>407</v>
      </c>
      <c r="L93" s="283">
        <v>45810</v>
      </c>
      <c r="M93" s="281"/>
      <c r="N93" s="195" t="s">
        <v>130</v>
      </c>
      <c r="O93" s="466">
        <v>0</v>
      </c>
      <c r="P93" s="285">
        <v>45901</v>
      </c>
      <c r="Q93" s="285">
        <v>46022</v>
      </c>
      <c r="R93" s="288">
        <v>1</v>
      </c>
      <c r="AA93" s="15">
        <v>3124</v>
      </c>
      <c r="AF93" s="16">
        <v>11</v>
      </c>
      <c r="AL93" s="478">
        <v>11</v>
      </c>
      <c r="AM93"/>
      <c r="AN93"/>
      <c r="AO93">
        <f t="shared" si="10"/>
        <v>1</v>
      </c>
    </row>
    <row r="94" spans="1:41" hidden="1">
      <c r="A94" s="193">
        <v>2045</v>
      </c>
      <c r="B94" s="194"/>
      <c r="C94" s="282"/>
      <c r="D94" s="282"/>
      <c r="E94" s="282"/>
      <c r="F94" s="283"/>
      <c r="G94" s="282">
        <v>2</v>
      </c>
      <c r="H94" s="282">
        <v>3</v>
      </c>
      <c r="I94" s="282">
        <v>850</v>
      </c>
      <c r="J94" s="282" t="s">
        <v>390</v>
      </c>
      <c r="K94" s="193" t="s">
        <v>407</v>
      </c>
      <c r="L94" s="283">
        <v>45901</v>
      </c>
      <c r="M94" s="284"/>
      <c r="N94" s="195" t="s">
        <v>130</v>
      </c>
      <c r="O94" s="466">
        <v>0</v>
      </c>
      <c r="P94" s="285">
        <v>45901</v>
      </c>
      <c r="Q94" s="285">
        <v>46022</v>
      </c>
      <c r="R94" s="288">
        <v>1</v>
      </c>
      <c r="AA94" s="15">
        <v>3665</v>
      </c>
      <c r="AF94" s="16">
        <v>7</v>
      </c>
      <c r="AL94" s="478">
        <v>7</v>
      </c>
      <c r="AM94"/>
      <c r="AN94"/>
      <c r="AO94">
        <f t="shared" si="10"/>
        <v>1</v>
      </c>
    </row>
    <row r="95" spans="1:41" hidden="1">
      <c r="A95" s="193">
        <v>2057</v>
      </c>
      <c r="B95" s="194"/>
      <c r="C95" s="193"/>
      <c r="D95" s="193"/>
      <c r="E95" s="193"/>
      <c r="F95" s="283"/>
      <c r="G95" s="479">
        <v>3</v>
      </c>
      <c r="H95" s="282">
        <v>4</v>
      </c>
      <c r="I95" s="193">
        <v>850</v>
      </c>
      <c r="J95" s="193" t="s">
        <v>390</v>
      </c>
      <c r="K95" s="193" t="s">
        <v>408</v>
      </c>
      <c r="L95" s="283">
        <v>45536</v>
      </c>
      <c r="M95" s="281"/>
      <c r="N95" s="195" t="s">
        <v>130</v>
      </c>
      <c r="O95" s="466">
        <v>0</v>
      </c>
      <c r="P95" s="285">
        <v>45901</v>
      </c>
      <c r="Q95" s="285">
        <v>46022</v>
      </c>
      <c r="R95" s="288">
        <v>1</v>
      </c>
      <c r="AA95" s="15">
        <v>4000</v>
      </c>
      <c r="AI95" s="16">
        <v>1</v>
      </c>
      <c r="AL95" s="478">
        <v>1</v>
      </c>
      <c r="AM95"/>
      <c r="AN95"/>
      <c r="AO95">
        <f t="shared" si="10"/>
        <v>1</v>
      </c>
    </row>
    <row r="96" spans="1:41" hidden="1">
      <c r="A96" s="193">
        <v>2057</v>
      </c>
      <c r="B96" s="194"/>
      <c r="C96" s="193"/>
      <c r="D96" s="193"/>
      <c r="E96" s="193"/>
      <c r="F96" s="283"/>
      <c r="G96" s="479">
        <v>5</v>
      </c>
      <c r="H96" s="282">
        <v>6</v>
      </c>
      <c r="I96" s="193">
        <v>850</v>
      </c>
      <c r="J96" s="193" t="s">
        <v>390</v>
      </c>
      <c r="K96" s="193" t="s">
        <v>408</v>
      </c>
      <c r="L96" s="283">
        <v>44817</v>
      </c>
      <c r="M96" s="281"/>
      <c r="N96" s="195" t="s">
        <v>130</v>
      </c>
      <c r="O96" s="466">
        <v>0</v>
      </c>
      <c r="P96" s="285">
        <v>45901</v>
      </c>
      <c r="Q96" s="285">
        <v>46022</v>
      </c>
      <c r="R96" s="288">
        <v>1</v>
      </c>
      <c r="AA96" s="15">
        <v>4007</v>
      </c>
      <c r="AC96" s="16">
        <v>3</v>
      </c>
      <c r="AL96" s="478">
        <v>3</v>
      </c>
      <c r="AM96"/>
      <c r="AN96"/>
      <c r="AO96">
        <f t="shared" si="10"/>
        <v>1</v>
      </c>
    </row>
    <row r="97" spans="1:41" hidden="1">
      <c r="A97" s="193">
        <v>2057</v>
      </c>
      <c r="B97" s="194"/>
      <c r="C97" s="193"/>
      <c r="D97" s="193"/>
      <c r="E97" s="193"/>
      <c r="F97" s="283"/>
      <c r="G97" s="479">
        <v>6</v>
      </c>
      <c r="H97" s="282">
        <v>7</v>
      </c>
      <c r="I97" s="193">
        <v>850</v>
      </c>
      <c r="J97" s="193" t="s">
        <v>390</v>
      </c>
      <c r="K97" s="193" t="s">
        <v>408</v>
      </c>
      <c r="L97" s="283">
        <v>44452</v>
      </c>
      <c r="M97" s="281">
        <v>45900</v>
      </c>
      <c r="N97" s="195" t="s">
        <v>130</v>
      </c>
      <c r="O97" s="466">
        <v>0</v>
      </c>
      <c r="P97" s="285" t="s">
        <v>399</v>
      </c>
      <c r="Q97" s="285" t="s">
        <v>399</v>
      </c>
      <c r="R97" s="288">
        <v>0</v>
      </c>
      <c r="AA97" s="15">
        <v>4110</v>
      </c>
      <c r="AI97" s="16">
        <v>2</v>
      </c>
      <c r="AK97" s="16">
        <v>11</v>
      </c>
      <c r="AL97" s="478">
        <v>13</v>
      </c>
      <c r="AM97"/>
      <c r="AN97"/>
      <c r="AO97">
        <f t="shared" si="10"/>
        <v>2</v>
      </c>
    </row>
    <row r="98" spans="1:41" hidden="1">
      <c r="A98" s="193">
        <v>2057</v>
      </c>
      <c r="B98" s="194"/>
      <c r="C98" s="282"/>
      <c r="D98" s="282"/>
      <c r="E98" s="282"/>
      <c r="F98" s="283"/>
      <c r="G98" s="282">
        <v>1</v>
      </c>
      <c r="H98" s="282">
        <v>2</v>
      </c>
      <c r="I98" s="282">
        <v>850</v>
      </c>
      <c r="J98" s="282" t="s">
        <v>390</v>
      </c>
      <c r="K98" s="193" t="s">
        <v>409</v>
      </c>
      <c r="L98" s="283">
        <v>45901</v>
      </c>
      <c r="M98" s="281"/>
      <c r="N98" s="195" t="s">
        <v>141</v>
      </c>
      <c r="O98" s="466">
        <v>0</v>
      </c>
      <c r="P98" s="285">
        <v>45901</v>
      </c>
      <c r="Q98" s="285">
        <v>46022</v>
      </c>
      <c r="R98" s="288">
        <v>1</v>
      </c>
      <c r="AA98" s="15">
        <v>4113</v>
      </c>
      <c r="AJ98" s="16">
        <v>11</v>
      </c>
      <c r="AL98" s="478">
        <v>11</v>
      </c>
      <c r="AM98"/>
      <c r="AN98"/>
      <c r="AO98">
        <f t="shared" si="10"/>
        <v>1</v>
      </c>
    </row>
    <row r="99" spans="1:41" hidden="1">
      <c r="A99" s="193">
        <v>2057</v>
      </c>
      <c r="B99" s="194"/>
      <c r="C99" s="282"/>
      <c r="D99" s="282"/>
      <c r="E99" s="282"/>
      <c r="F99" s="283"/>
      <c r="G99" s="282">
        <v>3</v>
      </c>
      <c r="H99" s="282">
        <v>4</v>
      </c>
      <c r="I99" s="282">
        <v>850</v>
      </c>
      <c r="J99" s="282" t="s">
        <v>390</v>
      </c>
      <c r="K99" s="193" t="s">
        <v>408</v>
      </c>
      <c r="L99" s="283">
        <v>45536</v>
      </c>
      <c r="M99" s="281"/>
      <c r="N99" s="195" t="s">
        <v>130</v>
      </c>
      <c r="O99" s="466">
        <v>0</v>
      </c>
      <c r="P99" s="285">
        <v>45901</v>
      </c>
      <c r="Q99" s="285">
        <v>46022</v>
      </c>
      <c r="R99" s="288">
        <v>1</v>
      </c>
      <c r="AA99" s="15">
        <v>4128</v>
      </c>
      <c r="AE99" s="16">
        <v>2</v>
      </c>
      <c r="AF99" s="16">
        <v>13</v>
      </c>
      <c r="AL99" s="478">
        <v>15</v>
      </c>
      <c r="AM99"/>
      <c r="AN99"/>
      <c r="AO99">
        <f t="shared" si="10"/>
        <v>2</v>
      </c>
    </row>
    <row r="100" spans="1:41" hidden="1">
      <c r="A100" s="193">
        <v>2057</v>
      </c>
      <c r="B100" s="194"/>
      <c r="C100" s="193"/>
      <c r="D100" s="193"/>
      <c r="E100" s="193"/>
      <c r="F100" s="283"/>
      <c r="G100" s="479">
        <v>3</v>
      </c>
      <c r="H100" s="282">
        <v>4</v>
      </c>
      <c r="I100" s="193">
        <v>850</v>
      </c>
      <c r="J100" s="193" t="s">
        <v>390</v>
      </c>
      <c r="K100" s="193" t="s">
        <v>409</v>
      </c>
      <c r="L100" s="283">
        <v>45536</v>
      </c>
      <c r="M100" s="281"/>
      <c r="N100" s="195" t="s">
        <v>141</v>
      </c>
      <c r="O100" s="466">
        <v>0</v>
      </c>
      <c r="P100" s="285">
        <v>45901</v>
      </c>
      <c r="Q100" s="285">
        <v>46022</v>
      </c>
      <c r="R100" s="288">
        <v>1</v>
      </c>
      <c r="AA100" s="15">
        <v>4133</v>
      </c>
      <c r="AD100" s="16">
        <v>9</v>
      </c>
      <c r="AL100" s="478">
        <v>9</v>
      </c>
      <c r="AM100"/>
      <c r="AN100"/>
      <c r="AO100">
        <f t="shared" si="10"/>
        <v>1</v>
      </c>
    </row>
    <row r="101" spans="1:41" hidden="1">
      <c r="A101" s="193">
        <v>2057</v>
      </c>
      <c r="B101" s="194"/>
      <c r="C101" s="193"/>
      <c r="D101" s="193"/>
      <c r="E101" s="193"/>
      <c r="F101" s="283"/>
      <c r="G101" s="479">
        <v>5</v>
      </c>
      <c r="H101" s="282">
        <v>6</v>
      </c>
      <c r="I101" s="193">
        <v>850</v>
      </c>
      <c r="J101" s="193" t="s">
        <v>390</v>
      </c>
      <c r="K101" s="193" t="s">
        <v>409</v>
      </c>
      <c r="L101" s="283">
        <v>44805</v>
      </c>
      <c r="M101" s="281"/>
      <c r="N101" s="195" t="s">
        <v>141</v>
      </c>
      <c r="O101" s="466">
        <v>0</v>
      </c>
      <c r="P101" s="285">
        <v>45901</v>
      </c>
      <c r="Q101" s="285">
        <v>46022</v>
      </c>
      <c r="R101" s="288">
        <v>1</v>
      </c>
      <c r="AA101" s="15">
        <v>4143</v>
      </c>
      <c r="AK101" s="16">
        <v>17</v>
      </c>
      <c r="AL101" s="478">
        <v>17</v>
      </c>
      <c r="AM101"/>
      <c r="AN101"/>
      <c r="AO101">
        <f t="shared" si="10"/>
        <v>1</v>
      </c>
    </row>
    <row r="102" spans="1:41" hidden="1">
      <c r="A102" s="193">
        <v>2057</v>
      </c>
      <c r="B102" s="194"/>
      <c r="C102" s="193"/>
      <c r="D102" s="193"/>
      <c r="E102" s="193"/>
      <c r="F102" s="283"/>
      <c r="G102" s="479">
        <v>1</v>
      </c>
      <c r="H102" s="282">
        <v>2</v>
      </c>
      <c r="I102" s="193">
        <v>850</v>
      </c>
      <c r="J102" s="193" t="s">
        <v>390</v>
      </c>
      <c r="K102" s="193" t="s">
        <v>410</v>
      </c>
      <c r="L102" s="283">
        <v>45901</v>
      </c>
      <c r="M102" s="281"/>
      <c r="N102" s="195" t="s">
        <v>141</v>
      </c>
      <c r="O102" s="466">
        <v>0</v>
      </c>
      <c r="P102" s="285">
        <v>45901</v>
      </c>
      <c r="Q102" s="285">
        <v>46022</v>
      </c>
      <c r="R102" s="288">
        <v>1</v>
      </c>
      <c r="AA102" s="15">
        <v>4164</v>
      </c>
      <c r="AI102" s="16">
        <v>16</v>
      </c>
      <c r="AL102" s="478">
        <v>16</v>
      </c>
      <c r="AM102"/>
      <c r="AN102"/>
      <c r="AO102">
        <f t="shared" si="10"/>
        <v>1</v>
      </c>
    </row>
    <row r="103" spans="1:41" hidden="1">
      <c r="A103" s="193">
        <v>2057</v>
      </c>
      <c r="B103" s="194"/>
      <c r="C103" s="193"/>
      <c r="D103" s="193"/>
      <c r="E103" s="193"/>
      <c r="F103" s="283"/>
      <c r="G103" s="479">
        <v>1</v>
      </c>
      <c r="H103" s="282">
        <v>2</v>
      </c>
      <c r="I103" s="193">
        <v>850</v>
      </c>
      <c r="J103" s="193" t="s">
        <v>390</v>
      </c>
      <c r="K103" s="193" t="s">
        <v>411</v>
      </c>
      <c r="L103" s="283">
        <v>45901</v>
      </c>
      <c r="M103" s="281"/>
      <c r="N103" s="195" t="s">
        <v>130</v>
      </c>
      <c r="O103" s="466">
        <v>0</v>
      </c>
      <c r="P103" s="285">
        <v>45901</v>
      </c>
      <c r="Q103" s="285">
        <v>46022</v>
      </c>
      <c r="R103" s="288">
        <v>1</v>
      </c>
      <c r="AA103" s="15">
        <v>4173</v>
      </c>
      <c r="AK103" s="16">
        <v>17</v>
      </c>
      <c r="AL103" s="478">
        <v>17</v>
      </c>
      <c r="AM103"/>
      <c r="AN103"/>
      <c r="AO103">
        <f t="shared" si="10"/>
        <v>1</v>
      </c>
    </row>
    <row r="104" spans="1:41" hidden="1">
      <c r="A104" s="193">
        <v>2057</v>
      </c>
      <c r="B104" s="194"/>
      <c r="C104" s="193"/>
      <c r="D104" s="193"/>
      <c r="E104" s="193"/>
      <c r="F104" s="283"/>
      <c r="G104" s="479">
        <v>4</v>
      </c>
      <c r="H104" s="282">
        <v>5</v>
      </c>
      <c r="I104" s="193">
        <v>850</v>
      </c>
      <c r="J104" s="193" t="s">
        <v>390</v>
      </c>
      <c r="K104" s="193" t="s">
        <v>410</v>
      </c>
      <c r="L104" s="283">
        <v>45170</v>
      </c>
      <c r="M104" s="281"/>
      <c r="N104" s="195" t="s">
        <v>141</v>
      </c>
      <c r="O104" s="466">
        <v>0</v>
      </c>
      <c r="P104" s="285">
        <v>45901</v>
      </c>
      <c r="Q104" s="285">
        <v>46022</v>
      </c>
      <c r="R104" s="288">
        <v>1</v>
      </c>
      <c r="AA104" s="15">
        <v>4174</v>
      </c>
      <c r="AB104" s="16">
        <v>5</v>
      </c>
      <c r="AL104" s="478">
        <v>5</v>
      </c>
      <c r="AM104"/>
      <c r="AN104"/>
      <c r="AO104">
        <f t="shared" si="10"/>
        <v>1</v>
      </c>
    </row>
    <row r="105" spans="1:41" hidden="1">
      <c r="A105" s="193">
        <v>2057</v>
      </c>
      <c r="B105" s="194"/>
      <c r="C105" s="193"/>
      <c r="D105" s="193"/>
      <c r="E105" s="193"/>
      <c r="F105" s="283"/>
      <c r="G105" s="479">
        <v>1</v>
      </c>
      <c r="H105" s="282">
        <v>2</v>
      </c>
      <c r="I105" s="193">
        <v>850</v>
      </c>
      <c r="J105" s="193" t="s">
        <v>390</v>
      </c>
      <c r="K105" s="193" t="s">
        <v>410</v>
      </c>
      <c r="L105" s="283">
        <v>45901</v>
      </c>
      <c r="M105" s="281"/>
      <c r="N105" s="195" t="s">
        <v>141</v>
      </c>
      <c r="O105" s="466">
        <v>0</v>
      </c>
      <c r="P105" s="285">
        <v>45901</v>
      </c>
      <c r="Q105" s="285">
        <v>46022</v>
      </c>
      <c r="R105" s="288">
        <v>1</v>
      </c>
      <c r="AA105" s="15">
        <v>4180</v>
      </c>
      <c r="AG105" s="16">
        <v>9</v>
      </c>
      <c r="AL105" s="478">
        <v>9</v>
      </c>
      <c r="AM105"/>
      <c r="AN105"/>
      <c r="AO105">
        <f t="shared" si="10"/>
        <v>1</v>
      </c>
    </row>
    <row r="106" spans="1:41" hidden="1">
      <c r="A106" s="193">
        <v>2057</v>
      </c>
      <c r="B106" s="194"/>
      <c r="C106" s="193"/>
      <c r="D106" s="193"/>
      <c r="E106" s="193"/>
      <c r="F106" s="283"/>
      <c r="G106" s="479">
        <v>4</v>
      </c>
      <c r="H106" s="282">
        <v>5</v>
      </c>
      <c r="I106" s="193">
        <v>850</v>
      </c>
      <c r="J106" s="193" t="s">
        <v>390</v>
      </c>
      <c r="K106" s="193" t="s">
        <v>410</v>
      </c>
      <c r="L106" s="283">
        <v>45170</v>
      </c>
      <c r="M106" s="281"/>
      <c r="N106" s="195" t="s">
        <v>141</v>
      </c>
      <c r="O106" s="466">
        <v>0</v>
      </c>
      <c r="P106" s="285">
        <v>45901</v>
      </c>
      <c r="Q106" s="285">
        <v>46022</v>
      </c>
      <c r="R106" s="288">
        <v>1</v>
      </c>
      <c r="AA106" s="15">
        <v>4191</v>
      </c>
      <c r="AF106" s="16">
        <v>10</v>
      </c>
      <c r="AI106" s="16">
        <v>6</v>
      </c>
      <c r="AL106" s="478">
        <v>16</v>
      </c>
      <c r="AM106"/>
      <c r="AN106"/>
      <c r="AO106">
        <f t="shared" si="10"/>
        <v>2</v>
      </c>
    </row>
    <row r="107" spans="1:41" hidden="1">
      <c r="A107" s="193">
        <v>2057</v>
      </c>
      <c r="B107" s="194"/>
      <c r="C107" s="193"/>
      <c r="D107" s="193"/>
      <c r="E107" s="193"/>
      <c r="F107" s="283"/>
      <c r="G107" s="479">
        <v>2</v>
      </c>
      <c r="H107" s="282">
        <v>3</v>
      </c>
      <c r="I107" s="193">
        <v>850</v>
      </c>
      <c r="J107" s="193" t="s">
        <v>390</v>
      </c>
      <c r="K107" s="193" t="s">
        <v>409</v>
      </c>
      <c r="L107" s="283">
        <v>45901</v>
      </c>
      <c r="M107" s="281"/>
      <c r="N107" s="195" t="s">
        <v>141</v>
      </c>
      <c r="O107" s="466">
        <v>0</v>
      </c>
      <c r="P107" s="285">
        <v>45901</v>
      </c>
      <c r="Q107" s="285">
        <v>46022</v>
      </c>
      <c r="R107" s="288">
        <v>1</v>
      </c>
      <c r="AA107" s="15">
        <v>4203</v>
      </c>
      <c r="AB107" s="16">
        <v>2</v>
      </c>
      <c r="AL107" s="478">
        <v>2</v>
      </c>
      <c r="AM107"/>
      <c r="AN107"/>
      <c r="AO107">
        <f t="shared" si="10"/>
        <v>1</v>
      </c>
    </row>
    <row r="108" spans="1:41" hidden="1">
      <c r="A108" s="193">
        <v>2057</v>
      </c>
      <c r="B108" s="194"/>
      <c r="C108" s="282"/>
      <c r="D108" s="282"/>
      <c r="E108" s="282"/>
      <c r="F108" s="283"/>
      <c r="G108" s="282">
        <v>3</v>
      </c>
      <c r="H108" s="282">
        <v>4</v>
      </c>
      <c r="I108" s="282">
        <v>850</v>
      </c>
      <c r="J108" s="282" t="s">
        <v>390</v>
      </c>
      <c r="K108" s="193" t="s">
        <v>409</v>
      </c>
      <c r="L108" s="283">
        <v>45901</v>
      </c>
      <c r="M108" s="284"/>
      <c r="N108" s="195" t="s">
        <v>141</v>
      </c>
      <c r="O108" s="466">
        <v>0</v>
      </c>
      <c r="P108" s="285">
        <v>45901</v>
      </c>
      <c r="Q108" s="285">
        <v>46022</v>
      </c>
      <c r="R108" s="288">
        <v>1</v>
      </c>
      <c r="AA108" s="15">
        <v>4206</v>
      </c>
      <c r="AI108" s="16">
        <v>13</v>
      </c>
      <c r="AL108" s="478">
        <v>13</v>
      </c>
      <c r="AM108"/>
      <c r="AN108"/>
      <c r="AO108">
        <f t="shared" si="10"/>
        <v>1</v>
      </c>
    </row>
    <row r="109" spans="1:41" hidden="1">
      <c r="A109" s="282">
        <v>2057</v>
      </c>
      <c r="B109" s="194"/>
      <c r="C109" s="282"/>
      <c r="D109" s="282"/>
      <c r="E109" s="282"/>
      <c r="F109" s="283"/>
      <c r="G109" s="282">
        <v>5</v>
      </c>
      <c r="H109" s="282">
        <v>6</v>
      </c>
      <c r="I109" s="282">
        <v>850</v>
      </c>
      <c r="J109" s="282" t="s">
        <v>390</v>
      </c>
      <c r="K109" s="282" t="s">
        <v>409</v>
      </c>
      <c r="L109" s="283">
        <v>44805</v>
      </c>
      <c r="M109" s="284"/>
      <c r="N109" s="195" t="s">
        <v>141</v>
      </c>
      <c r="O109" s="466">
        <v>0</v>
      </c>
      <c r="P109" s="285">
        <v>45901</v>
      </c>
      <c r="Q109" s="285">
        <v>46022</v>
      </c>
      <c r="R109" s="288">
        <v>1</v>
      </c>
      <c r="AA109" s="15">
        <v>4308</v>
      </c>
      <c r="AB109" s="16">
        <v>2</v>
      </c>
      <c r="AL109" s="478">
        <v>2</v>
      </c>
      <c r="AM109"/>
      <c r="AN109"/>
      <c r="AO109">
        <f t="shared" si="10"/>
        <v>1</v>
      </c>
    </row>
    <row r="110" spans="1:41" hidden="1">
      <c r="A110" s="282">
        <v>2057</v>
      </c>
      <c r="B110" s="194"/>
      <c r="C110" s="282"/>
      <c r="D110" s="282"/>
      <c r="E110" s="282"/>
      <c r="F110" s="283"/>
      <c r="G110" s="282">
        <v>3</v>
      </c>
      <c r="H110" s="282">
        <v>4</v>
      </c>
      <c r="I110" s="282">
        <v>850</v>
      </c>
      <c r="J110" s="282" t="s">
        <v>390</v>
      </c>
      <c r="K110" s="282" t="s">
        <v>408</v>
      </c>
      <c r="L110" s="283">
        <v>45536</v>
      </c>
      <c r="M110" s="284"/>
      <c r="N110" s="195" t="s">
        <v>130</v>
      </c>
      <c r="O110" s="466">
        <v>0</v>
      </c>
      <c r="P110" s="285">
        <v>45901</v>
      </c>
      <c r="Q110" s="285">
        <v>46022</v>
      </c>
      <c r="R110" s="288">
        <v>1</v>
      </c>
      <c r="AA110" s="15">
        <v>4310</v>
      </c>
      <c r="AE110" s="16">
        <v>4</v>
      </c>
      <c r="AL110" s="478">
        <v>4</v>
      </c>
      <c r="AM110"/>
      <c r="AN110"/>
      <c r="AO110">
        <f t="shared" si="10"/>
        <v>1</v>
      </c>
    </row>
    <row r="111" spans="1:41" hidden="1">
      <c r="A111" s="193">
        <v>2057</v>
      </c>
      <c r="B111" s="194"/>
      <c r="C111" s="193"/>
      <c r="D111" s="193"/>
      <c r="E111" s="193"/>
      <c r="F111" s="283"/>
      <c r="G111" s="193">
        <v>5</v>
      </c>
      <c r="H111" s="282">
        <v>6</v>
      </c>
      <c r="I111" s="193">
        <v>850</v>
      </c>
      <c r="J111" s="193" t="s">
        <v>390</v>
      </c>
      <c r="K111" s="193" t="s">
        <v>409</v>
      </c>
      <c r="L111" s="283">
        <v>44805</v>
      </c>
      <c r="M111" s="284"/>
      <c r="N111" s="195" t="s">
        <v>141</v>
      </c>
      <c r="O111" s="466">
        <v>0</v>
      </c>
      <c r="P111" s="285">
        <v>45901</v>
      </c>
      <c r="Q111" s="285">
        <v>46022</v>
      </c>
      <c r="R111" s="288">
        <v>1</v>
      </c>
      <c r="AA111" s="15">
        <v>4511</v>
      </c>
      <c r="AK111" s="16">
        <v>13</v>
      </c>
      <c r="AL111" s="478">
        <v>13</v>
      </c>
      <c r="AM111"/>
      <c r="AN111"/>
      <c r="AO111">
        <f t="shared" si="10"/>
        <v>1</v>
      </c>
    </row>
    <row r="112" spans="1:41" hidden="1">
      <c r="A112" s="193">
        <v>2057</v>
      </c>
      <c r="B112" s="194"/>
      <c r="C112" s="282"/>
      <c r="D112" s="282"/>
      <c r="E112" s="282"/>
      <c r="F112" s="283"/>
      <c r="G112" s="282">
        <v>1</v>
      </c>
      <c r="H112" s="282">
        <v>2</v>
      </c>
      <c r="I112" s="282">
        <v>850</v>
      </c>
      <c r="J112" s="282" t="s">
        <v>390</v>
      </c>
      <c r="K112" s="193" t="s">
        <v>411</v>
      </c>
      <c r="L112" s="283">
        <v>45901</v>
      </c>
      <c r="M112" s="284"/>
      <c r="N112" s="195" t="s">
        <v>130</v>
      </c>
      <c r="O112" s="466">
        <v>0</v>
      </c>
      <c r="P112" s="285">
        <v>45901</v>
      </c>
      <c r="Q112" s="285">
        <v>46022</v>
      </c>
      <c r="R112" s="288">
        <v>1</v>
      </c>
      <c r="AA112" s="15">
        <v>5208</v>
      </c>
      <c r="AC112" s="16">
        <v>5</v>
      </c>
      <c r="AG112" s="16">
        <v>10</v>
      </c>
      <c r="AL112" s="478">
        <v>15</v>
      </c>
      <c r="AM112"/>
      <c r="AN112"/>
      <c r="AO112">
        <f t="shared" si="10"/>
        <v>2</v>
      </c>
    </row>
    <row r="113" spans="1:41" hidden="1">
      <c r="A113" s="193">
        <v>2057</v>
      </c>
      <c r="B113" s="194"/>
      <c r="C113" s="282"/>
      <c r="D113" s="282"/>
      <c r="E113" s="282"/>
      <c r="F113" s="283"/>
      <c r="G113" s="282">
        <v>3</v>
      </c>
      <c r="H113" s="282">
        <v>4</v>
      </c>
      <c r="I113" s="282">
        <v>850</v>
      </c>
      <c r="J113" s="282" t="s">
        <v>390</v>
      </c>
      <c r="K113" s="193" t="s">
        <v>411</v>
      </c>
      <c r="L113" s="283">
        <v>45170</v>
      </c>
      <c r="M113" s="284"/>
      <c r="N113" s="195" t="s">
        <v>130</v>
      </c>
      <c r="O113" s="466">
        <v>0</v>
      </c>
      <c r="P113" s="285">
        <v>45901</v>
      </c>
      <c r="Q113" s="285">
        <v>46022</v>
      </c>
      <c r="R113" s="288">
        <v>1</v>
      </c>
      <c r="AA113" s="15">
        <v>5405</v>
      </c>
      <c r="AK113" s="16">
        <v>12</v>
      </c>
      <c r="AL113" s="478">
        <v>12</v>
      </c>
      <c r="AM113"/>
      <c r="AN113"/>
      <c r="AO113">
        <f t="shared" si="10"/>
        <v>1</v>
      </c>
    </row>
    <row r="114" spans="1:41" hidden="1">
      <c r="A114" s="193">
        <v>2057</v>
      </c>
      <c r="B114" s="194"/>
      <c r="C114" s="193"/>
      <c r="D114" s="193"/>
      <c r="E114" s="193"/>
      <c r="F114" s="283"/>
      <c r="G114" s="479">
        <v>3</v>
      </c>
      <c r="H114" s="282">
        <v>4</v>
      </c>
      <c r="I114" s="193">
        <v>850</v>
      </c>
      <c r="J114" s="193" t="s">
        <v>390</v>
      </c>
      <c r="K114" s="193" t="s">
        <v>409</v>
      </c>
      <c r="L114" s="283">
        <v>45536</v>
      </c>
      <c r="M114" s="281"/>
      <c r="N114" s="195" t="s">
        <v>141</v>
      </c>
      <c r="O114" s="466">
        <v>0</v>
      </c>
      <c r="P114" s="285">
        <v>45901</v>
      </c>
      <c r="Q114" s="285">
        <v>46022</v>
      </c>
      <c r="R114" s="288">
        <v>1</v>
      </c>
      <c r="AA114" s="15">
        <v>5412</v>
      </c>
      <c r="AI114" s="16">
        <v>9</v>
      </c>
      <c r="AK114" s="16">
        <v>3</v>
      </c>
      <c r="AL114" s="478">
        <v>12</v>
      </c>
      <c r="AM114"/>
      <c r="AN114"/>
      <c r="AO114">
        <f t="shared" si="10"/>
        <v>2</v>
      </c>
    </row>
    <row r="115" spans="1:41" hidden="1">
      <c r="A115" s="193">
        <v>2057</v>
      </c>
      <c r="B115" s="194"/>
      <c r="C115" s="193"/>
      <c r="D115" s="193"/>
      <c r="E115" s="193"/>
      <c r="F115" s="283"/>
      <c r="G115" s="479">
        <v>6</v>
      </c>
      <c r="H115" s="282">
        <v>7</v>
      </c>
      <c r="I115" s="193">
        <v>850</v>
      </c>
      <c r="J115" s="193" t="s">
        <v>390</v>
      </c>
      <c r="K115" s="193" t="s">
        <v>408</v>
      </c>
      <c r="L115" s="283">
        <v>44440</v>
      </c>
      <c r="M115" s="281">
        <v>45900</v>
      </c>
      <c r="N115" s="195" t="s">
        <v>130</v>
      </c>
      <c r="O115" s="466">
        <v>0</v>
      </c>
      <c r="P115" s="285" t="s">
        <v>399</v>
      </c>
      <c r="Q115" s="285" t="s">
        <v>399</v>
      </c>
      <c r="R115" s="288">
        <v>0</v>
      </c>
      <c r="AA115" s="15">
        <v>3404</v>
      </c>
      <c r="AB115" s="16">
        <v>4</v>
      </c>
      <c r="AL115" s="478">
        <v>4</v>
      </c>
      <c r="AM115"/>
      <c r="AN115"/>
      <c r="AO115">
        <f t="shared" si="10"/>
        <v>1</v>
      </c>
    </row>
    <row r="116" spans="1:41" hidden="1">
      <c r="A116" s="193">
        <v>2057</v>
      </c>
      <c r="B116" s="194"/>
      <c r="C116" s="193"/>
      <c r="D116" s="193"/>
      <c r="E116" s="193"/>
      <c r="F116" s="283"/>
      <c r="G116" s="193">
        <v>0</v>
      </c>
      <c r="H116" s="282">
        <v>1</v>
      </c>
      <c r="I116" s="193">
        <v>850</v>
      </c>
      <c r="J116" s="193" t="s">
        <v>390</v>
      </c>
      <c r="K116" s="193" t="s">
        <v>410</v>
      </c>
      <c r="L116" s="283">
        <v>45812</v>
      </c>
      <c r="M116" s="281"/>
      <c r="N116" s="195" t="s">
        <v>141</v>
      </c>
      <c r="O116" s="466">
        <v>0</v>
      </c>
      <c r="P116" s="285">
        <v>45901</v>
      </c>
      <c r="Q116" s="285">
        <v>46022</v>
      </c>
      <c r="R116" s="288">
        <v>1</v>
      </c>
      <c r="AA116" s="15">
        <v>4130</v>
      </c>
      <c r="AF116" s="16">
        <v>9.08</v>
      </c>
      <c r="AL116" s="478">
        <v>9.08</v>
      </c>
      <c r="AM116"/>
      <c r="AN116"/>
      <c r="AO116">
        <f t="shared" si="10"/>
        <v>1</v>
      </c>
    </row>
    <row r="117" spans="1:41" hidden="1">
      <c r="A117" s="193">
        <v>2057</v>
      </c>
      <c r="B117" s="194"/>
      <c r="C117" s="193"/>
      <c r="D117" s="193"/>
      <c r="E117" s="193"/>
      <c r="F117" s="283"/>
      <c r="G117" s="193">
        <v>1</v>
      </c>
      <c r="H117" s="282">
        <v>2</v>
      </c>
      <c r="I117" s="193">
        <v>850</v>
      </c>
      <c r="J117" s="193" t="s">
        <v>390</v>
      </c>
      <c r="K117" s="193" t="s">
        <v>410</v>
      </c>
      <c r="L117" s="283">
        <v>45536</v>
      </c>
      <c r="M117" s="281"/>
      <c r="N117" s="195" t="s">
        <v>141</v>
      </c>
      <c r="O117" s="466">
        <v>0</v>
      </c>
      <c r="P117" s="285">
        <v>45901</v>
      </c>
      <c r="Q117" s="285">
        <v>46022</v>
      </c>
      <c r="R117" s="288">
        <v>1</v>
      </c>
      <c r="AA117" s="15">
        <v>5416</v>
      </c>
      <c r="AF117" s="16">
        <v>5</v>
      </c>
      <c r="AL117" s="478">
        <v>5</v>
      </c>
      <c r="AM117"/>
      <c r="AO117">
        <f>COUNTIFS(AB117:AK117,"&lt;&gt;0",AB117:AK117,"&lt;&gt;")</f>
        <v>1</v>
      </c>
    </row>
    <row r="118" spans="1:41" hidden="1">
      <c r="A118" s="282">
        <v>2057</v>
      </c>
      <c r="B118" s="194"/>
      <c r="C118" s="282"/>
      <c r="D118" s="282"/>
      <c r="E118" s="282"/>
      <c r="F118" s="283"/>
      <c r="G118" s="282">
        <v>2</v>
      </c>
      <c r="H118" s="282">
        <v>3</v>
      </c>
      <c r="I118" s="282">
        <v>850</v>
      </c>
      <c r="J118" s="282" t="s">
        <v>390</v>
      </c>
      <c r="K118" s="282" t="s">
        <v>411</v>
      </c>
      <c r="L118" s="283">
        <v>45536</v>
      </c>
      <c r="M118" s="284"/>
      <c r="N118" s="287" t="s">
        <v>130</v>
      </c>
      <c r="O118" s="466">
        <v>0</v>
      </c>
      <c r="P118" s="285">
        <v>45901</v>
      </c>
      <c r="Q118" s="285">
        <v>46022</v>
      </c>
      <c r="R118" s="288">
        <v>1</v>
      </c>
      <c r="AA118" s="15">
        <v>2339</v>
      </c>
      <c r="AK118" s="16">
        <v>2</v>
      </c>
      <c r="AL118" s="478">
        <v>2</v>
      </c>
      <c r="AO118">
        <f t="shared" si="10"/>
        <v>1</v>
      </c>
    </row>
    <row r="119" spans="1:41" hidden="1">
      <c r="A119" s="193">
        <v>2057</v>
      </c>
      <c r="B119" s="194"/>
      <c r="C119" s="193"/>
      <c r="D119" s="193"/>
      <c r="E119" s="193"/>
      <c r="F119" s="283"/>
      <c r="G119" s="193">
        <v>-1</v>
      </c>
      <c r="H119" s="282">
        <v>0</v>
      </c>
      <c r="I119" s="193">
        <v>850</v>
      </c>
      <c r="J119" s="193" t="s">
        <v>390</v>
      </c>
      <c r="K119" s="193" t="s">
        <v>410</v>
      </c>
      <c r="L119" s="283">
        <v>45901</v>
      </c>
      <c r="M119" s="281">
        <v>46265</v>
      </c>
      <c r="N119" s="195" t="s">
        <v>141</v>
      </c>
      <c r="O119" s="466">
        <v>0</v>
      </c>
      <c r="P119" s="285">
        <v>45901</v>
      </c>
      <c r="Q119" s="285">
        <v>46022</v>
      </c>
      <c r="R119" s="288">
        <v>1</v>
      </c>
      <c r="AA119" s="15">
        <v>2045</v>
      </c>
      <c r="AF119" s="16">
        <v>4</v>
      </c>
      <c r="AL119" s="478">
        <v>4</v>
      </c>
      <c r="AO119">
        <f t="shared" si="10"/>
        <v>1</v>
      </c>
    </row>
    <row r="120" spans="1:41" hidden="1">
      <c r="A120" s="282">
        <v>2057</v>
      </c>
      <c r="B120" s="194"/>
      <c r="C120" s="282"/>
      <c r="D120" s="282"/>
      <c r="E120" s="282"/>
      <c r="F120" s="283"/>
      <c r="G120" s="282">
        <v>4</v>
      </c>
      <c r="H120" s="282">
        <v>5</v>
      </c>
      <c r="I120" s="282">
        <v>850</v>
      </c>
      <c r="J120" s="282" t="s">
        <v>390</v>
      </c>
      <c r="K120" s="282" t="s">
        <v>411</v>
      </c>
      <c r="L120" s="283">
        <v>45170</v>
      </c>
      <c r="M120" s="281"/>
      <c r="N120" s="287" t="s">
        <v>130</v>
      </c>
      <c r="O120" s="466">
        <v>0</v>
      </c>
      <c r="P120" s="285">
        <v>45901</v>
      </c>
      <c r="Q120" s="285">
        <v>46022</v>
      </c>
      <c r="R120" s="288">
        <v>1</v>
      </c>
      <c r="AA120" s="15">
        <v>4159</v>
      </c>
      <c r="AK120" s="16">
        <v>5</v>
      </c>
      <c r="AL120" s="478">
        <v>5</v>
      </c>
      <c r="AO120">
        <f t="shared" si="10"/>
        <v>1</v>
      </c>
    </row>
    <row r="121" spans="1:41" hidden="1">
      <c r="A121" s="282">
        <v>2057</v>
      </c>
      <c r="B121" s="194"/>
      <c r="C121" s="282"/>
      <c r="D121" s="282"/>
      <c r="E121" s="282"/>
      <c r="F121" s="283"/>
      <c r="G121" s="282">
        <v>3</v>
      </c>
      <c r="H121" s="282">
        <v>4</v>
      </c>
      <c r="I121" s="282">
        <v>850</v>
      </c>
      <c r="J121" s="282" t="s">
        <v>390</v>
      </c>
      <c r="K121" s="282" t="s">
        <v>409</v>
      </c>
      <c r="L121" s="283">
        <v>45536</v>
      </c>
      <c r="M121" s="284"/>
      <c r="N121" s="287" t="s">
        <v>141</v>
      </c>
      <c r="O121" s="466">
        <v>0</v>
      </c>
      <c r="P121" s="285">
        <v>45901</v>
      </c>
      <c r="Q121" s="285">
        <v>46022</v>
      </c>
      <c r="R121" s="288">
        <v>1</v>
      </c>
      <c r="AA121" s="15" t="s">
        <v>330</v>
      </c>
      <c r="AB121" s="16">
        <v>28</v>
      </c>
      <c r="AC121" s="16">
        <v>55</v>
      </c>
      <c r="AD121" s="16">
        <v>9</v>
      </c>
      <c r="AE121" s="16">
        <v>6</v>
      </c>
      <c r="AF121" s="16">
        <v>95.339999999999989</v>
      </c>
      <c r="AG121" s="16">
        <v>129</v>
      </c>
      <c r="AH121" s="16">
        <v>39</v>
      </c>
      <c r="AI121" s="16">
        <v>47</v>
      </c>
      <c r="AJ121" s="16">
        <v>19</v>
      </c>
      <c r="AK121" s="16">
        <v>150</v>
      </c>
      <c r="AL121" s="478">
        <v>577.34</v>
      </c>
    </row>
    <row r="122" spans="1:41" hidden="1">
      <c r="A122" s="282">
        <v>2057</v>
      </c>
      <c r="B122" s="194"/>
      <c r="C122" s="282"/>
      <c r="D122" s="282"/>
      <c r="E122" s="282"/>
      <c r="F122" s="283"/>
      <c r="G122" s="282">
        <v>5</v>
      </c>
      <c r="H122" s="282">
        <v>6</v>
      </c>
      <c r="I122" s="282">
        <v>850</v>
      </c>
      <c r="J122" s="282" t="s">
        <v>390</v>
      </c>
      <c r="K122" s="282" t="s">
        <v>409</v>
      </c>
      <c r="L122" s="283">
        <v>44805</v>
      </c>
      <c r="M122" s="281"/>
      <c r="N122" s="287" t="s">
        <v>141</v>
      </c>
      <c r="O122" s="466">
        <v>0</v>
      </c>
      <c r="P122" s="285">
        <v>45901</v>
      </c>
      <c r="Q122" s="285">
        <v>46022</v>
      </c>
      <c r="R122" s="288">
        <v>1</v>
      </c>
    </row>
    <row r="123" spans="1:41" hidden="1">
      <c r="A123" s="282">
        <v>2057</v>
      </c>
      <c r="B123" s="194"/>
      <c r="C123" s="282"/>
      <c r="D123" s="282"/>
      <c r="E123" s="282"/>
      <c r="F123" s="283"/>
      <c r="G123" s="282">
        <v>1</v>
      </c>
      <c r="H123" s="282">
        <v>2</v>
      </c>
      <c r="I123" s="282">
        <v>850</v>
      </c>
      <c r="J123" s="282" t="s">
        <v>390</v>
      </c>
      <c r="K123" s="282" t="s">
        <v>410</v>
      </c>
      <c r="L123" s="283">
        <v>45536</v>
      </c>
      <c r="M123" s="281"/>
      <c r="N123" s="287" t="s">
        <v>141</v>
      </c>
      <c r="O123" s="466">
        <v>0</v>
      </c>
      <c r="P123" s="285">
        <v>45901</v>
      </c>
      <c r="Q123" s="285">
        <v>46022</v>
      </c>
      <c r="R123" s="288">
        <v>1</v>
      </c>
    </row>
    <row r="124" spans="1:41" hidden="1">
      <c r="A124" s="282">
        <v>2062</v>
      </c>
      <c r="B124" s="194"/>
      <c r="C124" s="282"/>
      <c r="D124" s="282"/>
      <c r="E124" s="282"/>
      <c r="F124" s="283"/>
      <c r="G124" s="282">
        <v>6</v>
      </c>
      <c r="H124" s="282">
        <v>7</v>
      </c>
      <c r="I124" s="282">
        <v>850</v>
      </c>
      <c r="J124" s="282" t="s">
        <v>390</v>
      </c>
      <c r="K124" s="282" t="s">
        <v>412</v>
      </c>
      <c r="L124" s="283">
        <v>44440</v>
      </c>
      <c r="M124" s="284">
        <v>45900</v>
      </c>
      <c r="N124" s="287" t="s">
        <v>130</v>
      </c>
      <c r="O124" s="466">
        <v>0</v>
      </c>
      <c r="P124" s="285" t="s">
        <v>399</v>
      </c>
      <c r="Q124" s="285" t="s">
        <v>399</v>
      </c>
      <c r="R124" s="288">
        <v>0</v>
      </c>
    </row>
    <row r="125" spans="1:41" hidden="1">
      <c r="A125" s="282">
        <v>2062</v>
      </c>
      <c r="B125" s="194"/>
      <c r="C125" s="282"/>
      <c r="D125" s="282"/>
      <c r="E125" s="282"/>
      <c r="F125" s="283"/>
      <c r="G125" s="282">
        <v>3</v>
      </c>
      <c r="H125" s="282">
        <v>4</v>
      </c>
      <c r="I125" s="282">
        <v>850</v>
      </c>
      <c r="J125" s="282" t="s">
        <v>390</v>
      </c>
      <c r="K125" s="282" t="s">
        <v>412</v>
      </c>
      <c r="L125" s="283">
        <v>45170</v>
      </c>
      <c r="M125" s="284"/>
      <c r="N125" s="287" t="s">
        <v>130</v>
      </c>
      <c r="O125" s="466">
        <v>0</v>
      </c>
      <c r="P125" s="285">
        <v>45901</v>
      </c>
      <c r="Q125" s="285">
        <v>46022</v>
      </c>
      <c r="R125" s="288">
        <v>1</v>
      </c>
    </row>
    <row r="126" spans="1:41" hidden="1">
      <c r="A126" s="193">
        <v>2062</v>
      </c>
      <c r="B126" s="194"/>
      <c r="C126" s="193"/>
      <c r="D126" s="193"/>
      <c r="E126" s="193"/>
      <c r="F126" s="283"/>
      <c r="G126" s="193">
        <v>2</v>
      </c>
      <c r="H126" s="282">
        <v>3</v>
      </c>
      <c r="I126" s="193">
        <v>850</v>
      </c>
      <c r="J126" s="193" t="s">
        <v>390</v>
      </c>
      <c r="K126" s="193" t="s">
        <v>412</v>
      </c>
      <c r="L126" s="283">
        <v>45536</v>
      </c>
      <c r="M126" s="281"/>
      <c r="N126" s="195" t="s">
        <v>130</v>
      </c>
      <c r="O126" s="466">
        <v>0</v>
      </c>
      <c r="P126" s="285">
        <v>45901</v>
      </c>
      <c r="Q126" s="285">
        <v>46022</v>
      </c>
      <c r="R126" s="288">
        <v>1</v>
      </c>
    </row>
    <row r="127" spans="1:41" hidden="1">
      <c r="A127" s="193">
        <v>2062</v>
      </c>
      <c r="B127" s="194"/>
      <c r="C127" s="193"/>
      <c r="D127" s="193"/>
      <c r="E127" s="193"/>
      <c r="F127" s="283"/>
      <c r="G127" s="193">
        <v>4</v>
      </c>
      <c r="H127" s="282">
        <v>5</v>
      </c>
      <c r="I127" s="193">
        <v>850</v>
      </c>
      <c r="J127" s="193" t="s">
        <v>390</v>
      </c>
      <c r="K127" s="193" t="s">
        <v>412</v>
      </c>
      <c r="L127" s="283">
        <v>45687</v>
      </c>
      <c r="M127" s="281"/>
      <c r="N127" s="195" t="s">
        <v>130</v>
      </c>
      <c r="O127" s="466">
        <v>0</v>
      </c>
      <c r="P127" s="285">
        <v>45901</v>
      </c>
      <c r="Q127" s="285">
        <v>46022</v>
      </c>
      <c r="R127" s="288">
        <v>1</v>
      </c>
    </row>
    <row r="128" spans="1:41" hidden="1">
      <c r="A128" s="282">
        <v>2062</v>
      </c>
      <c r="B128" s="194"/>
      <c r="C128" s="479"/>
      <c r="D128" s="479"/>
      <c r="E128" s="479"/>
      <c r="F128" s="480"/>
      <c r="G128" s="479">
        <v>3</v>
      </c>
      <c r="H128" s="282">
        <v>4</v>
      </c>
      <c r="I128" s="282">
        <v>850</v>
      </c>
      <c r="J128" s="282" t="s">
        <v>390</v>
      </c>
      <c r="K128" s="282" t="s">
        <v>412</v>
      </c>
      <c r="L128" s="283">
        <v>45568</v>
      </c>
      <c r="M128" s="281"/>
      <c r="N128" s="287" t="s">
        <v>130</v>
      </c>
      <c r="O128" s="466">
        <v>0</v>
      </c>
      <c r="P128" s="285">
        <v>45901</v>
      </c>
      <c r="Q128" s="285">
        <v>46022</v>
      </c>
      <c r="R128" s="288">
        <v>1</v>
      </c>
    </row>
    <row r="129" spans="1:18" hidden="1">
      <c r="A129" s="282">
        <v>2062</v>
      </c>
      <c r="B129" s="194"/>
      <c r="C129" s="479"/>
      <c r="D129" s="479"/>
      <c r="E129" s="479"/>
      <c r="F129" s="480"/>
      <c r="G129" s="479">
        <v>5</v>
      </c>
      <c r="H129" s="282">
        <v>6</v>
      </c>
      <c r="I129" s="282">
        <v>850</v>
      </c>
      <c r="J129" s="282" t="s">
        <v>390</v>
      </c>
      <c r="K129" s="282" t="s">
        <v>412</v>
      </c>
      <c r="L129" s="283">
        <v>45170</v>
      </c>
      <c r="M129" s="284">
        <v>45932</v>
      </c>
      <c r="N129" s="287" t="s">
        <v>130</v>
      </c>
      <c r="O129" s="466">
        <v>0</v>
      </c>
      <c r="P129" s="285">
        <v>45901</v>
      </c>
      <c r="Q129" s="285">
        <v>45932</v>
      </c>
      <c r="R129" s="288">
        <v>0.26</v>
      </c>
    </row>
    <row r="130" spans="1:18" hidden="1">
      <c r="A130" s="282">
        <v>2062</v>
      </c>
      <c r="B130" s="194"/>
      <c r="C130" s="479"/>
      <c r="D130" s="479"/>
      <c r="E130" s="479"/>
      <c r="F130" s="480"/>
      <c r="G130" s="479">
        <v>3</v>
      </c>
      <c r="H130" s="282">
        <v>4</v>
      </c>
      <c r="I130" s="282">
        <v>850</v>
      </c>
      <c r="J130" s="282" t="s">
        <v>390</v>
      </c>
      <c r="K130" s="282" t="s">
        <v>412</v>
      </c>
      <c r="L130" s="283">
        <v>45536</v>
      </c>
      <c r="M130" s="284"/>
      <c r="N130" s="287" t="s">
        <v>130</v>
      </c>
      <c r="O130" s="466">
        <v>0</v>
      </c>
      <c r="P130" s="285">
        <v>45901</v>
      </c>
      <c r="Q130" s="285">
        <v>46022</v>
      </c>
      <c r="R130" s="288">
        <v>1</v>
      </c>
    </row>
    <row r="131" spans="1:18" hidden="1">
      <c r="A131" s="282">
        <v>2062</v>
      </c>
      <c r="B131" s="194"/>
      <c r="C131" s="479"/>
      <c r="D131" s="479"/>
      <c r="E131" s="479"/>
      <c r="F131" s="480"/>
      <c r="G131" s="479">
        <v>6</v>
      </c>
      <c r="H131" s="282">
        <v>7</v>
      </c>
      <c r="I131" s="282">
        <v>850</v>
      </c>
      <c r="J131" s="282" t="s">
        <v>390</v>
      </c>
      <c r="K131" s="282" t="s">
        <v>412</v>
      </c>
      <c r="L131" s="283">
        <v>44440</v>
      </c>
      <c r="M131" s="284">
        <v>45900</v>
      </c>
      <c r="N131" s="287" t="s">
        <v>130</v>
      </c>
      <c r="O131" s="466">
        <v>0</v>
      </c>
      <c r="P131" s="285" t="s">
        <v>399</v>
      </c>
      <c r="Q131" s="285" t="s">
        <v>399</v>
      </c>
      <c r="R131" s="288">
        <v>0</v>
      </c>
    </row>
    <row r="132" spans="1:18" hidden="1">
      <c r="A132" s="470">
        <v>2062</v>
      </c>
      <c r="B132" s="194"/>
      <c r="C132" s="479"/>
      <c r="D132" s="479"/>
      <c r="E132" s="479"/>
      <c r="F132" s="480"/>
      <c r="G132" s="479">
        <v>4</v>
      </c>
      <c r="H132" s="282">
        <v>5</v>
      </c>
      <c r="I132" s="282">
        <v>850</v>
      </c>
      <c r="J132" s="282" t="s">
        <v>390</v>
      </c>
      <c r="K132" s="470" t="s">
        <v>412</v>
      </c>
      <c r="L132" s="283">
        <v>45536</v>
      </c>
      <c r="M132" s="471"/>
      <c r="N132" s="472" t="s">
        <v>130</v>
      </c>
      <c r="O132" s="466">
        <v>0</v>
      </c>
      <c r="P132" s="285">
        <v>45901</v>
      </c>
      <c r="Q132" s="285">
        <v>46022</v>
      </c>
      <c r="R132" s="288">
        <v>1</v>
      </c>
    </row>
    <row r="133" spans="1:18" hidden="1">
      <c r="A133" s="194">
        <v>2062</v>
      </c>
      <c r="B133" s="194"/>
      <c r="C133" s="479"/>
      <c r="D133" s="479"/>
      <c r="E133" s="479"/>
      <c r="F133" s="480"/>
      <c r="G133" s="479">
        <v>4</v>
      </c>
      <c r="H133" s="282">
        <v>5</v>
      </c>
      <c r="I133" s="282">
        <v>850</v>
      </c>
      <c r="J133" s="282" t="s">
        <v>390</v>
      </c>
      <c r="K133" s="194" t="s">
        <v>412</v>
      </c>
      <c r="L133" s="283">
        <v>44805</v>
      </c>
      <c r="M133" s="281"/>
      <c r="N133" s="194" t="s">
        <v>130</v>
      </c>
      <c r="O133" s="466">
        <v>0</v>
      </c>
      <c r="P133" s="285">
        <v>45901</v>
      </c>
      <c r="Q133" s="285">
        <v>46022</v>
      </c>
      <c r="R133" s="288">
        <v>1</v>
      </c>
    </row>
    <row r="134" spans="1:18" hidden="1">
      <c r="A134" s="194">
        <v>2062</v>
      </c>
      <c r="B134" s="194"/>
      <c r="C134" s="479"/>
      <c r="D134" s="479"/>
      <c r="E134" s="479"/>
      <c r="F134" s="480"/>
      <c r="G134" s="479">
        <v>5</v>
      </c>
      <c r="H134" s="282">
        <v>6</v>
      </c>
      <c r="I134" s="282">
        <v>850</v>
      </c>
      <c r="J134" s="282" t="s">
        <v>390</v>
      </c>
      <c r="K134" s="194" t="s">
        <v>412</v>
      </c>
      <c r="L134" s="283">
        <v>44805</v>
      </c>
      <c r="M134" s="281"/>
      <c r="N134" s="194" t="s">
        <v>130</v>
      </c>
      <c r="O134" s="466">
        <v>0</v>
      </c>
      <c r="P134" s="285">
        <v>45901</v>
      </c>
      <c r="Q134" s="285">
        <v>46022</v>
      </c>
      <c r="R134" s="288">
        <v>1</v>
      </c>
    </row>
    <row r="135" spans="1:18" hidden="1">
      <c r="A135" s="194">
        <v>2103</v>
      </c>
      <c r="B135" s="194"/>
      <c r="C135" s="479"/>
      <c r="D135" s="479"/>
      <c r="E135" s="479"/>
      <c r="F135" s="480"/>
      <c r="G135" s="479">
        <v>5</v>
      </c>
      <c r="H135" s="282">
        <v>6</v>
      </c>
      <c r="I135" s="282">
        <v>850</v>
      </c>
      <c r="J135" s="282" t="s">
        <v>390</v>
      </c>
      <c r="K135" s="194" t="s">
        <v>413</v>
      </c>
      <c r="L135" s="283">
        <v>45536</v>
      </c>
      <c r="M135" s="281"/>
      <c r="N135" s="194" t="s">
        <v>130</v>
      </c>
      <c r="O135" s="466">
        <v>0</v>
      </c>
      <c r="P135" s="285">
        <v>45901</v>
      </c>
      <c r="Q135" s="285">
        <v>46022</v>
      </c>
      <c r="R135" s="288">
        <v>1</v>
      </c>
    </row>
    <row r="136" spans="1:18" hidden="1">
      <c r="A136" s="194">
        <v>2103</v>
      </c>
      <c r="B136" s="194"/>
      <c r="C136" s="479"/>
      <c r="D136" s="479"/>
      <c r="E136" s="479"/>
      <c r="F136" s="480"/>
      <c r="G136" s="479">
        <v>3</v>
      </c>
      <c r="H136" s="282">
        <v>4</v>
      </c>
      <c r="I136" s="282">
        <v>850</v>
      </c>
      <c r="J136" s="282" t="s">
        <v>390</v>
      </c>
      <c r="K136" s="194" t="s">
        <v>413</v>
      </c>
      <c r="L136" s="283">
        <v>45901</v>
      </c>
      <c r="M136" s="285"/>
      <c r="N136" s="194" t="s">
        <v>130</v>
      </c>
      <c r="O136" s="466">
        <v>0</v>
      </c>
      <c r="P136" s="285">
        <v>45901</v>
      </c>
      <c r="Q136" s="285">
        <v>46022</v>
      </c>
      <c r="R136" s="288">
        <v>1</v>
      </c>
    </row>
    <row r="137" spans="1:18" hidden="1">
      <c r="A137" s="194">
        <v>2103</v>
      </c>
      <c r="B137" s="194"/>
      <c r="C137" s="479"/>
      <c r="D137" s="479"/>
      <c r="E137" s="479"/>
      <c r="F137" s="480"/>
      <c r="G137" s="479">
        <v>3</v>
      </c>
      <c r="H137" s="282">
        <v>4</v>
      </c>
      <c r="I137" s="282">
        <v>850</v>
      </c>
      <c r="J137" s="282" t="s">
        <v>390</v>
      </c>
      <c r="K137" s="194" t="s">
        <v>413</v>
      </c>
      <c r="L137" s="283">
        <v>45536</v>
      </c>
      <c r="M137" s="285"/>
      <c r="N137" s="194" t="s">
        <v>130</v>
      </c>
      <c r="O137" s="466">
        <v>0</v>
      </c>
      <c r="P137" s="285">
        <v>45901</v>
      </c>
      <c r="Q137" s="285">
        <v>46022</v>
      </c>
      <c r="R137" s="288">
        <v>1</v>
      </c>
    </row>
    <row r="138" spans="1:18" hidden="1">
      <c r="A138" s="194">
        <v>2103</v>
      </c>
      <c r="B138" s="194"/>
      <c r="C138" s="479"/>
      <c r="D138" s="479"/>
      <c r="E138" s="479"/>
      <c r="F138" s="480"/>
      <c r="G138" s="479">
        <v>5</v>
      </c>
      <c r="H138" s="282">
        <v>6</v>
      </c>
      <c r="I138" s="282">
        <v>850</v>
      </c>
      <c r="J138" s="282" t="s">
        <v>390</v>
      </c>
      <c r="K138" s="194" t="s">
        <v>413</v>
      </c>
      <c r="L138" s="283">
        <v>45901</v>
      </c>
      <c r="M138" s="285"/>
      <c r="N138" s="194" t="s">
        <v>130</v>
      </c>
      <c r="O138" s="466">
        <v>0</v>
      </c>
      <c r="P138" s="285">
        <v>45901</v>
      </c>
      <c r="Q138" s="285">
        <v>46022</v>
      </c>
      <c r="R138" s="288">
        <v>1</v>
      </c>
    </row>
    <row r="139" spans="1:18" hidden="1">
      <c r="A139" s="194">
        <v>2103</v>
      </c>
      <c r="B139" s="194"/>
      <c r="C139" s="479"/>
      <c r="D139" s="479"/>
      <c r="E139" s="479"/>
      <c r="F139" s="480"/>
      <c r="G139" s="479">
        <v>4</v>
      </c>
      <c r="H139" s="282">
        <v>5</v>
      </c>
      <c r="I139" s="282">
        <v>850</v>
      </c>
      <c r="J139" s="282" t="s">
        <v>390</v>
      </c>
      <c r="K139" s="194" t="s">
        <v>413</v>
      </c>
      <c r="L139" s="283">
        <v>45901</v>
      </c>
      <c r="M139" s="285"/>
      <c r="N139" s="194" t="s">
        <v>130</v>
      </c>
      <c r="O139" s="466">
        <v>0</v>
      </c>
      <c r="P139" s="285">
        <v>45901</v>
      </c>
      <c r="Q139" s="285">
        <v>46022</v>
      </c>
      <c r="R139" s="288">
        <v>1</v>
      </c>
    </row>
    <row r="140" spans="1:18" hidden="1">
      <c r="A140" s="194">
        <v>2103</v>
      </c>
      <c r="B140" s="194"/>
      <c r="C140" s="479"/>
      <c r="D140" s="479"/>
      <c r="E140" s="479"/>
      <c r="F140" s="480"/>
      <c r="G140" s="479">
        <v>4</v>
      </c>
      <c r="H140" s="282">
        <v>5</v>
      </c>
      <c r="I140" s="282">
        <v>850</v>
      </c>
      <c r="J140" s="282" t="s">
        <v>390</v>
      </c>
      <c r="K140" s="194" t="s">
        <v>413</v>
      </c>
      <c r="L140" s="283">
        <v>45901</v>
      </c>
      <c r="M140" s="281"/>
      <c r="N140" s="194" t="s">
        <v>130</v>
      </c>
      <c r="O140" s="466">
        <v>0</v>
      </c>
      <c r="P140" s="285">
        <v>45901</v>
      </c>
      <c r="Q140" s="285">
        <v>46022</v>
      </c>
      <c r="R140" s="288">
        <v>1</v>
      </c>
    </row>
    <row r="141" spans="1:18" hidden="1">
      <c r="A141" s="194">
        <v>2103</v>
      </c>
      <c r="B141" s="194"/>
      <c r="C141" s="479"/>
      <c r="D141" s="479"/>
      <c r="E141" s="479"/>
      <c r="F141" s="480"/>
      <c r="G141" s="479">
        <v>6</v>
      </c>
      <c r="H141" s="282">
        <v>7</v>
      </c>
      <c r="I141" s="282">
        <v>850</v>
      </c>
      <c r="J141" s="282" t="s">
        <v>390</v>
      </c>
      <c r="K141" s="194" t="s">
        <v>413</v>
      </c>
      <c r="L141" s="283">
        <v>44805</v>
      </c>
      <c r="M141" s="281">
        <v>45900</v>
      </c>
      <c r="N141" s="194" t="s">
        <v>130</v>
      </c>
      <c r="O141" s="466">
        <v>0</v>
      </c>
      <c r="P141" s="285" t="s">
        <v>399</v>
      </c>
      <c r="Q141" s="285" t="s">
        <v>399</v>
      </c>
      <c r="R141" s="288">
        <v>0</v>
      </c>
    </row>
    <row r="142" spans="1:18" hidden="1">
      <c r="A142" s="193">
        <v>2103</v>
      </c>
      <c r="B142" s="194"/>
      <c r="C142" s="479"/>
      <c r="D142" s="479"/>
      <c r="E142" s="479"/>
      <c r="F142" s="480"/>
      <c r="G142" s="479">
        <v>6</v>
      </c>
      <c r="H142" s="282">
        <v>7</v>
      </c>
      <c r="I142" s="282">
        <v>850</v>
      </c>
      <c r="J142" s="282" t="s">
        <v>390</v>
      </c>
      <c r="K142" s="193" t="s">
        <v>413</v>
      </c>
      <c r="L142" s="283">
        <v>44927</v>
      </c>
      <c r="M142" s="281">
        <v>45900</v>
      </c>
      <c r="N142" s="195" t="s">
        <v>130</v>
      </c>
      <c r="O142" s="466">
        <v>0</v>
      </c>
      <c r="P142" s="285" t="s">
        <v>399</v>
      </c>
      <c r="Q142" s="285" t="s">
        <v>399</v>
      </c>
      <c r="R142" s="288">
        <v>0</v>
      </c>
    </row>
    <row r="143" spans="1:18" hidden="1">
      <c r="A143" s="193">
        <v>2103</v>
      </c>
      <c r="B143" s="194"/>
      <c r="C143" s="479"/>
      <c r="D143" s="479"/>
      <c r="E143" s="479"/>
      <c r="F143" s="480"/>
      <c r="G143" s="479">
        <v>6</v>
      </c>
      <c r="H143" s="282">
        <v>7</v>
      </c>
      <c r="I143" s="282">
        <v>850</v>
      </c>
      <c r="J143" s="282" t="s">
        <v>390</v>
      </c>
      <c r="K143" s="193" t="s">
        <v>413</v>
      </c>
      <c r="L143" s="283">
        <v>44805</v>
      </c>
      <c r="M143" s="281">
        <v>45900</v>
      </c>
      <c r="N143" s="195" t="s">
        <v>130</v>
      </c>
      <c r="O143" s="466">
        <v>0</v>
      </c>
      <c r="P143" s="285" t="s">
        <v>399</v>
      </c>
      <c r="Q143" s="285" t="s">
        <v>399</v>
      </c>
      <c r="R143" s="288">
        <v>0</v>
      </c>
    </row>
    <row r="144" spans="1:18" hidden="1">
      <c r="A144" s="193">
        <v>2103</v>
      </c>
      <c r="B144" s="194"/>
      <c r="C144" s="479"/>
      <c r="D144" s="479"/>
      <c r="E144" s="479"/>
      <c r="F144" s="480"/>
      <c r="G144" s="479">
        <v>2</v>
      </c>
      <c r="H144" s="282">
        <v>3</v>
      </c>
      <c r="I144" s="193">
        <v>850</v>
      </c>
      <c r="J144" s="193" t="s">
        <v>390</v>
      </c>
      <c r="K144" s="193" t="s">
        <v>413</v>
      </c>
      <c r="L144" s="283">
        <v>45536</v>
      </c>
      <c r="M144" s="281"/>
      <c r="N144" s="195" t="s">
        <v>130</v>
      </c>
      <c r="O144" s="466">
        <v>0</v>
      </c>
      <c r="P144" s="285">
        <v>45901</v>
      </c>
      <c r="Q144" s="285">
        <v>46022</v>
      </c>
      <c r="R144" s="288">
        <v>1</v>
      </c>
    </row>
    <row r="145" spans="1:18" hidden="1">
      <c r="A145" s="193">
        <v>2103</v>
      </c>
      <c r="B145" s="194"/>
      <c r="C145" s="193"/>
      <c r="D145" s="193"/>
      <c r="E145" s="193"/>
      <c r="F145" s="283"/>
      <c r="G145" s="193">
        <v>4</v>
      </c>
      <c r="H145" s="282">
        <v>5</v>
      </c>
      <c r="I145" s="193">
        <v>938</v>
      </c>
      <c r="J145" s="193" t="s">
        <v>414</v>
      </c>
      <c r="K145" s="193" t="s">
        <v>413</v>
      </c>
      <c r="L145" s="283">
        <v>45901</v>
      </c>
      <c r="M145" s="281"/>
      <c r="N145" s="195" t="s">
        <v>130</v>
      </c>
      <c r="O145" s="466">
        <v>0</v>
      </c>
      <c r="P145" s="285">
        <v>45901</v>
      </c>
      <c r="Q145" s="285">
        <v>46022</v>
      </c>
      <c r="R145" s="288">
        <v>1</v>
      </c>
    </row>
    <row r="146" spans="1:18" hidden="1">
      <c r="A146" s="193">
        <v>2111</v>
      </c>
      <c r="B146" s="194"/>
      <c r="C146" s="479"/>
      <c r="D146" s="479"/>
      <c r="E146" s="479"/>
      <c r="F146" s="480"/>
      <c r="G146" s="479">
        <v>6</v>
      </c>
      <c r="H146" s="282">
        <v>7</v>
      </c>
      <c r="I146" s="193">
        <v>850</v>
      </c>
      <c r="J146" s="193" t="s">
        <v>390</v>
      </c>
      <c r="K146" s="193" t="s">
        <v>415</v>
      </c>
      <c r="L146" s="283">
        <v>44440</v>
      </c>
      <c r="M146" s="281">
        <v>45900</v>
      </c>
      <c r="N146" s="195" t="s">
        <v>141</v>
      </c>
      <c r="O146" s="466">
        <v>0</v>
      </c>
      <c r="P146" s="285" t="s">
        <v>399</v>
      </c>
      <c r="Q146" s="285" t="s">
        <v>399</v>
      </c>
      <c r="R146" s="288">
        <v>0</v>
      </c>
    </row>
    <row r="147" spans="1:18" hidden="1">
      <c r="A147" s="193">
        <v>2111</v>
      </c>
      <c r="B147" s="194"/>
      <c r="C147" s="479"/>
      <c r="D147" s="479"/>
      <c r="E147" s="479"/>
      <c r="F147" s="480"/>
      <c r="G147" s="479">
        <v>5</v>
      </c>
      <c r="H147" s="282">
        <v>6</v>
      </c>
      <c r="I147" s="193">
        <v>850</v>
      </c>
      <c r="J147" s="193" t="s">
        <v>390</v>
      </c>
      <c r="K147" s="193" t="s">
        <v>415</v>
      </c>
      <c r="L147" s="283">
        <v>44805</v>
      </c>
      <c r="M147" s="281"/>
      <c r="N147" s="195" t="s">
        <v>141</v>
      </c>
      <c r="O147" s="466">
        <v>0</v>
      </c>
      <c r="P147" s="285">
        <v>45901</v>
      </c>
      <c r="Q147" s="285">
        <v>46022</v>
      </c>
      <c r="R147" s="288">
        <v>1</v>
      </c>
    </row>
    <row r="148" spans="1:18" hidden="1">
      <c r="A148" s="193">
        <v>2111</v>
      </c>
      <c r="B148" s="194"/>
      <c r="C148" s="193"/>
      <c r="D148" s="193"/>
      <c r="E148" s="193"/>
      <c r="F148" s="283"/>
      <c r="G148" s="193">
        <v>5</v>
      </c>
      <c r="H148" s="282">
        <v>6</v>
      </c>
      <c r="I148" s="193">
        <v>850</v>
      </c>
      <c r="J148" s="193" t="s">
        <v>390</v>
      </c>
      <c r="K148" s="193" t="s">
        <v>416</v>
      </c>
      <c r="L148" s="283">
        <v>44805</v>
      </c>
      <c r="M148" s="281">
        <v>45900</v>
      </c>
      <c r="N148" s="195" t="s">
        <v>213</v>
      </c>
      <c r="O148" s="466">
        <v>0</v>
      </c>
      <c r="P148" s="285" t="s">
        <v>399</v>
      </c>
      <c r="Q148" s="285" t="s">
        <v>399</v>
      </c>
      <c r="R148" s="288">
        <v>0</v>
      </c>
    </row>
    <row r="149" spans="1:18" hidden="1">
      <c r="A149" s="193">
        <v>2111</v>
      </c>
      <c r="B149" s="194"/>
      <c r="C149" s="193"/>
      <c r="D149" s="193"/>
      <c r="E149" s="193"/>
      <c r="F149" s="283"/>
      <c r="G149" s="193">
        <v>4</v>
      </c>
      <c r="H149" s="282">
        <v>5</v>
      </c>
      <c r="I149" s="193">
        <v>850</v>
      </c>
      <c r="J149" s="193" t="s">
        <v>390</v>
      </c>
      <c r="K149" s="193" t="s">
        <v>415</v>
      </c>
      <c r="L149" s="283">
        <v>45170</v>
      </c>
      <c r="M149" s="281"/>
      <c r="N149" s="195" t="s">
        <v>141</v>
      </c>
      <c r="O149" s="466">
        <v>0</v>
      </c>
      <c r="P149" s="285">
        <v>45901</v>
      </c>
      <c r="Q149" s="285">
        <v>46022</v>
      </c>
      <c r="R149" s="288">
        <v>1</v>
      </c>
    </row>
    <row r="150" spans="1:18" hidden="1">
      <c r="A150" s="282">
        <v>2111</v>
      </c>
      <c r="B150" s="194"/>
      <c r="C150" s="282"/>
      <c r="D150" s="282"/>
      <c r="E150" s="282"/>
      <c r="F150" s="283"/>
      <c r="G150" s="193">
        <v>4</v>
      </c>
      <c r="H150" s="282">
        <v>5</v>
      </c>
      <c r="I150" s="282">
        <v>850</v>
      </c>
      <c r="J150" s="282" t="s">
        <v>390</v>
      </c>
      <c r="K150" s="282" t="s">
        <v>416</v>
      </c>
      <c r="L150" s="283">
        <v>45536</v>
      </c>
      <c r="M150" s="281"/>
      <c r="N150" s="287" t="s">
        <v>213</v>
      </c>
      <c r="O150" s="466">
        <v>0</v>
      </c>
      <c r="P150" s="285">
        <v>45901</v>
      </c>
      <c r="Q150" s="285">
        <v>46022</v>
      </c>
      <c r="R150" s="288">
        <v>1</v>
      </c>
    </row>
    <row r="151" spans="1:18" hidden="1">
      <c r="A151" s="282">
        <v>2111</v>
      </c>
      <c r="B151" s="194"/>
      <c r="C151" s="282"/>
      <c r="D151" s="282"/>
      <c r="E151" s="282"/>
      <c r="F151" s="283"/>
      <c r="G151" s="193">
        <v>6</v>
      </c>
      <c r="H151" s="282">
        <v>7</v>
      </c>
      <c r="I151" s="282">
        <v>850</v>
      </c>
      <c r="J151" s="282" t="s">
        <v>390</v>
      </c>
      <c r="K151" s="282" t="s">
        <v>415</v>
      </c>
      <c r="L151" s="283">
        <v>44440</v>
      </c>
      <c r="M151" s="281">
        <v>45900</v>
      </c>
      <c r="N151" s="287" t="s">
        <v>141</v>
      </c>
      <c r="O151" s="466">
        <v>0</v>
      </c>
      <c r="P151" s="285" t="s">
        <v>399</v>
      </c>
      <c r="Q151" s="285" t="s">
        <v>399</v>
      </c>
      <c r="R151" s="288">
        <v>0</v>
      </c>
    </row>
    <row r="152" spans="1:18" hidden="1">
      <c r="A152" s="282">
        <v>2111</v>
      </c>
      <c r="B152" s="194"/>
      <c r="C152" s="282"/>
      <c r="D152" s="282"/>
      <c r="E152" s="282"/>
      <c r="F152" s="283"/>
      <c r="G152" s="193">
        <v>3</v>
      </c>
      <c r="H152" s="282">
        <v>4</v>
      </c>
      <c r="I152" s="282">
        <v>850</v>
      </c>
      <c r="J152" s="282" t="s">
        <v>390</v>
      </c>
      <c r="K152" s="282" t="s">
        <v>416</v>
      </c>
      <c r="L152" s="283">
        <v>45536</v>
      </c>
      <c r="M152" s="281"/>
      <c r="N152" s="287" t="s">
        <v>213</v>
      </c>
      <c r="O152" s="466">
        <v>0</v>
      </c>
      <c r="P152" s="285">
        <v>45901</v>
      </c>
      <c r="Q152" s="285">
        <v>46022</v>
      </c>
      <c r="R152" s="288">
        <v>1</v>
      </c>
    </row>
    <row r="153" spans="1:18" hidden="1">
      <c r="A153" s="193">
        <v>2111</v>
      </c>
      <c r="B153" s="194"/>
      <c r="C153" s="193"/>
      <c r="D153" s="193"/>
      <c r="E153" s="193"/>
      <c r="F153" s="283"/>
      <c r="G153" s="193">
        <v>4</v>
      </c>
      <c r="H153" s="282">
        <v>5</v>
      </c>
      <c r="I153" s="193">
        <v>850</v>
      </c>
      <c r="J153" s="193" t="s">
        <v>390</v>
      </c>
      <c r="K153" s="193" t="s">
        <v>415</v>
      </c>
      <c r="L153" s="283">
        <v>45397</v>
      </c>
      <c r="M153" s="281"/>
      <c r="N153" s="195" t="s">
        <v>141</v>
      </c>
      <c r="O153" s="466">
        <v>0</v>
      </c>
      <c r="P153" s="285">
        <v>45901</v>
      </c>
      <c r="Q153" s="285">
        <v>46022</v>
      </c>
      <c r="R153" s="288">
        <v>1</v>
      </c>
    </row>
    <row r="154" spans="1:18" hidden="1">
      <c r="A154" s="193">
        <v>2111</v>
      </c>
      <c r="B154" s="194"/>
      <c r="C154" s="193"/>
      <c r="D154" s="193"/>
      <c r="E154" s="193"/>
      <c r="F154" s="283"/>
      <c r="G154" s="193">
        <v>2</v>
      </c>
      <c r="H154" s="282">
        <v>3</v>
      </c>
      <c r="I154" s="193">
        <v>850</v>
      </c>
      <c r="J154" s="193" t="s">
        <v>390</v>
      </c>
      <c r="K154" s="193" t="s">
        <v>415</v>
      </c>
      <c r="L154" s="283">
        <v>45901</v>
      </c>
      <c r="M154" s="281"/>
      <c r="N154" s="195" t="s">
        <v>141</v>
      </c>
      <c r="O154" s="466">
        <v>0</v>
      </c>
      <c r="P154" s="285">
        <v>45901</v>
      </c>
      <c r="Q154" s="285">
        <v>46022</v>
      </c>
      <c r="R154" s="288">
        <v>1</v>
      </c>
    </row>
    <row r="155" spans="1:18" hidden="1">
      <c r="A155" s="193">
        <v>2111</v>
      </c>
      <c r="B155" s="194"/>
      <c r="C155" s="282"/>
      <c r="D155" s="282"/>
      <c r="E155" s="282"/>
      <c r="F155" s="283"/>
      <c r="G155" s="282">
        <v>4</v>
      </c>
      <c r="H155" s="282">
        <v>5</v>
      </c>
      <c r="I155" s="282">
        <v>850</v>
      </c>
      <c r="J155" s="282" t="s">
        <v>390</v>
      </c>
      <c r="K155" s="282" t="s">
        <v>415</v>
      </c>
      <c r="L155" s="283">
        <v>45170</v>
      </c>
      <c r="M155" s="284"/>
      <c r="N155" s="195" t="s">
        <v>141</v>
      </c>
      <c r="O155" s="466">
        <v>0</v>
      </c>
      <c r="P155" s="285">
        <v>45901</v>
      </c>
      <c r="Q155" s="285">
        <v>46022</v>
      </c>
      <c r="R155" s="288">
        <v>1</v>
      </c>
    </row>
    <row r="156" spans="1:18" hidden="1">
      <c r="A156" s="282">
        <v>2111</v>
      </c>
      <c r="B156" s="194"/>
      <c r="C156" s="282"/>
      <c r="D156" s="282"/>
      <c r="E156" s="282"/>
      <c r="F156" s="283"/>
      <c r="G156" s="193">
        <v>5</v>
      </c>
      <c r="H156" s="282">
        <v>6</v>
      </c>
      <c r="I156" s="282">
        <v>850</v>
      </c>
      <c r="J156" s="282" t="s">
        <v>390</v>
      </c>
      <c r="K156" s="193" t="s">
        <v>416</v>
      </c>
      <c r="L156" s="283">
        <v>44805</v>
      </c>
      <c r="M156" s="281"/>
      <c r="N156" s="195" t="s">
        <v>213</v>
      </c>
      <c r="O156" s="466">
        <v>0</v>
      </c>
      <c r="P156" s="285">
        <v>45901</v>
      </c>
      <c r="Q156" s="285">
        <v>46022</v>
      </c>
      <c r="R156" s="288">
        <v>1</v>
      </c>
    </row>
    <row r="157" spans="1:18" hidden="1">
      <c r="A157" s="282">
        <v>2111</v>
      </c>
      <c r="B157" s="194"/>
      <c r="C157" s="282"/>
      <c r="D157" s="282"/>
      <c r="E157" s="282"/>
      <c r="F157" s="283"/>
      <c r="G157" s="193">
        <v>3</v>
      </c>
      <c r="H157" s="282">
        <v>4</v>
      </c>
      <c r="I157" s="282">
        <v>850</v>
      </c>
      <c r="J157" s="282" t="s">
        <v>390</v>
      </c>
      <c r="K157" s="193" t="s">
        <v>415</v>
      </c>
      <c r="L157" s="283">
        <v>45536</v>
      </c>
      <c r="M157" s="281"/>
      <c r="N157" s="195" t="s">
        <v>141</v>
      </c>
      <c r="O157" s="466">
        <v>0</v>
      </c>
      <c r="P157" s="285">
        <v>45901</v>
      </c>
      <c r="Q157" s="285">
        <v>46022</v>
      </c>
      <c r="R157" s="288">
        <v>1</v>
      </c>
    </row>
    <row r="158" spans="1:18" hidden="1">
      <c r="A158" s="282">
        <v>2111</v>
      </c>
      <c r="B158" s="194"/>
      <c r="C158" s="282"/>
      <c r="D158" s="282"/>
      <c r="E158" s="282"/>
      <c r="F158" s="283"/>
      <c r="G158" s="193">
        <v>6</v>
      </c>
      <c r="H158" s="282">
        <v>7</v>
      </c>
      <c r="I158" s="282">
        <v>850</v>
      </c>
      <c r="J158" s="282" t="s">
        <v>390</v>
      </c>
      <c r="K158" s="193" t="s">
        <v>415</v>
      </c>
      <c r="L158" s="283">
        <v>44628</v>
      </c>
      <c r="M158" s="281">
        <v>45900</v>
      </c>
      <c r="N158" s="195" t="s">
        <v>141</v>
      </c>
      <c r="O158" s="466">
        <v>0</v>
      </c>
      <c r="P158" s="285" t="s">
        <v>399</v>
      </c>
      <c r="Q158" s="285" t="s">
        <v>399</v>
      </c>
      <c r="R158" s="288">
        <v>0</v>
      </c>
    </row>
    <row r="159" spans="1:18" hidden="1">
      <c r="A159" s="282">
        <v>2111</v>
      </c>
      <c r="B159" s="194"/>
      <c r="C159" s="282"/>
      <c r="D159" s="282"/>
      <c r="E159" s="282"/>
      <c r="F159" s="283"/>
      <c r="G159" s="282">
        <v>2</v>
      </c>
      <c r="H159" s="282">
        <v>3</v>
      </c>
      <c r="I159" s="282">
        <v>850</v>
      </c>
      <c r="J159" s="282" t="s">
        <v>390</v>
      </c>
      <c r="K159" s="193" t="s">
        <v>415</v>
      </c>
      <c r="L159" s="283">
        <v>45901</v>
      </c>
      <c r="M159" s="281"/>
      <c r="N159" s="195" t="s">
        <v>141</v>
      </c>
      <c r="O159" s="466">
        <v>0</v>
      </c>
      <c r="P159" s="285">
        <v>45901</v>
      </c>
      <c r="Q159" s="285">
        <v>46022</v>
      </c>
      <c r="R159" s="288">
        <v>1</v>
      </c>
    </row>
    <row r="160" spans="1:18" hidden="1">
      <c r="A160" s="193">
        <v>2111</v>
      </c>
      <c r="B160" s="194"/>
      <c r="C160" s="193"/>
      <c r="D160" s="193"/>
      <c r="E160" s="193"/>
      <c r="F160" s="283"/>
      <c r="G160" s="193">
        <v>4</v>
      </c>
      <c r="H160" s="282">
        <v>5</v>
      </c>
      <c r="I160" s="193">
        <v>850</v>
      </c>
      <c r="J160" s="193" t="s">
        <v>390</v>
      </c>
      <c r="K160" s="193" t="s">
        <v>415</v>
      </c>
      <c r="L160" s="283">
        <v>45170</v>
      </c>
      <c r="M160" s="281"/>
      <c r="N160" s="195" t="s">
        <v>141</v>
      </c>
      <c r="O160" s="466">
        <v>0</v>
      </c>
      <c r="P160" s="285">
        <v>45901</v>
      </c>
      <c r="Q160" s="285">
        <v>46022</v>
      </c>
      <c r="R160" s="288">
        <v>1</v>
      </c>
    </row>
    <row r="161" spans="1:18" hidden="1">
      <c r="A161" s="193">
        <v>2111</v>
      </c>
      <c r="B161" s="194"/>
      <c r="C161" s="479"/>
      <c r="D161" s="479"/>
      <c r="E161" s="479"/>
      <c r="F161" s="480"/>
      <c r="G161" s="479">
        <v>5</v>
      </c>
      <c r="H161" s="282">
        <v>6</v>
      </c>
      <c r="I161" s="193">
        <v>850</v>
      </c>
      <c r="J161" s="193" t="s">
        <v>390</v>
      </c>
      <c r="K161" s="193" t="s">
        <v>416</v>
      </c>
      <c r="L161" s="283">
        <v>44805</v>
      </c>
      <c r="M161" s="281"/>
      <c r="N161" s="195" t="s">
        <v>213</v>
      </c>
      <c r="O161" s="466">
        <v>0</v>
      </c>
      <c r="P161" s="285">
        <v>45901</v>
      </c>
      <c r="Q161" s="285">
        <v>46022</v>
      </c>
      <c r="R161" s="288">
        <v>1</v>
      </c>
    </row>
    <row r="162" spans="1:18" hidden="1">
      <c r="A162" s="193">
        <v>2111</v>
      </c>
      <c r="B162" s="194"/>
      <c r="C162" s="479"/>
      <c r="D162" s="479"/>
      <c r="E162" s="479"/>
      <c r="F162" s="480"/>
      <c r="G162" s="479">
        <v>5</v>
      </c>
      <c r="H162" s="282">
        <v>6</v>
      </c>
      <c r="I162" s="193">
        <v>850</v>
      </c>
      <c r="J162" s="193" t="s">
        <v>390</v>
      </c>
      <c r="K162" s="193" t="s">
        <v>416</v>
      </c>
      <c r="L162" s="283">
        <v>44805</v>
      </c>
      <c r="M162" s="281"/>
      <c r="N162" s="195" t="s">
        <v>213</v>
      </c>
      <c r="O162" s="466">
        <v>0</v>
      </c>
      <c r="P162" s="285">
        <v>45901</v>
      </c>
      <c r="Q162" s="285">
        <v>46022</v>
      </c>
      <c r="R162" s="288">
        <v>1</v>
      </c>
    </row>
    <row r="163" spans="1:18" hidden="1">
      <c r="A163" s="282">
        <v>2111</v>
      </c>
      <c r="B163" s="194"/>
      <c r="C163" s="282"/>
      <c r="D163" s="282"/>
      <c r="E163" s="282"/>
      <c r="F163" s="283"/>
      <c r="G163" s="193">
        <v>5</v>
      </c>
      <c r="H163" s="282">
        <v>6</v>
      </c>
      <c r="I163" s="282">
        <v>850</v>
      </c>
      <c r="J163" s="282" t="s">
        <v>390</v>
      </c>
      <c r="K163" s="193" t="s">
        <v>415</v>
      </c>
      <c r="L163" s="283">
        <v>44805</v>
      </c>
      <c r="M163" s="281"/>
      <c r="N163" s="195" t="s">
        <v>141</v>
      </c>
      <c r="O163" s="466">
        <v>0</v>
      </c>
      <c r="P163" s="285">
        <v>45901</v>
      </c>
      <c r="Q163" s="285">
        <v>46022</v>
      </c>
      <c r="R163" s="288">
        <v>1</v>
      </c>
    </row>
    <row r="164" spans="1:18" hidden="1">
      <c r="A164" s="193">
        <v>2111</v>
      </c>
      <c r="B164" s="194"/>
      <c r="C164" s="193"/>
      <c r="D164" s="193"/>
      <c r="E164" s="193"/>
      <c r="F164" s="283"/>
      <c r="G164" s="193">
        <v>4</v>
      </c>
      <c r="H164" s="282">
        <v>5</v>
      </c>
      <c r="I164" s="193">
        <v>850</v>
      </c>
      <c r="J164" s="193" t="s">
        <v>390</v>
      </c>
      <c r="K164" s="193" t="s">
        <v>416</v>
      </c>
      <c r="L164" s="283">
        <v>45170</v>
      </c>
      <c r="M164" s="281"/>
      <c r="N164" s="195" t="s">
        <v>213</v>
      </c>
      <c r="O164" s="466">
        <v>0</v>
      </c>
      <c r="P164" s="285">
        <v>45901</v>
      </c>
      <c r="Q164" s="285">
        <v>46022</v>
      </c>
      <c r="R164" s="288">
        <v>1</v>
      </c>
    </row>
    <row r="165" spans="1:18" hidden="1">
      <c r="A165" s="282">
        <v>2111</v>
      </c>
      <c r="B165" s="194"/>
      <c r="C165" s="282"/>
      <c r="D165" s="282"/>
      <c r="E165" s="282"/>
      <c r="F165" s="283"/>
      <c r="G165" s="193">
        <v>4</v>
      </c>
      <c r="H165" s="282">
        <v>5</v>
      </c>
      <c r="I165" s="282">
        <v>850</v>
      </c>
      <c r="J165" s="282" t="s">
        <v>390</v>
      </c>
      <c r="K165" s="282" t="s">
        <v>415</v>
      </c>
      <c r="L165" s="283">
        <v>45901</v>
      </c>
      <c r="M165" s="281"/>
      <c r="N165" s="287" t="s">
        <v>141</v>
      </c>
      <c r="O165" s="466">
        <v>0</v>
      </c>
      <c r="P165" s="285">
        <v>45901</v>
      </c>
      <c r="Q165" s="285">
        <v>46022</v>
      </c>
      <c r="R165" s="288">
        <v>1</v>
      </c>
    </row>
    <row r="166" spans="1:18" hidden="1">
      <c r="A166" s="193">
        <v>2111</v>
      </c>
      <c r="B166" s="194"/>
      <c r="C166" s="193"/>
      <c r="D166" s="193"/>
      <c r="E166" s="193"/>
      <c r="F166" s="283"/>
      <c r="G166" s="193">
        <v>4</v>
      </c>
      <c r="H166" s="282">
        <v>5</v>
      </c>
      <c r="I166" s="193">
        <v>850</v>
      </c>
      <c r="J166" s="193" t="s">
        <v>390</v>
      </c>
      <c r="K166" s="193" t="s">
        <v>415</v>
      </c>
      <c r="L166" s="283">
        <v>45901</v>
      </c>
      <c r="M166" s="281"/>
      <c r="N166" s="195" t="s">
        <v>141</v>
      </c>
      <c r="O166" s="466">
        <v>0</v>
      </c>
      <c r="P166" s="285">
        <v>45901</v>
      </c>
      <c r="Q166" s="285">
        <v>46022</v>
      </c>
      <c r="R166" s="288">
        <v>1</v>
      </c>
    </row>
    <row r="167" spans="1:18" hidden="1">
      <c r="A167" s="193">
        <v>2111</v>
      </c>
      <c r="B167" s="194"/>
      <c r="C167" s="479"/>
      <c r="D167" s="479"/>
      <c r="E167" s="479"/>
      <c r="F167" s="480"/>
      <c r="G167" s="479">
        <v>6</v>
      </c>
      <c r="H167" s="282">
        <v>7</v>
      </c>
      <c r="I167" s="193">
        <v>850</v>
      </c>
      <c r="J167" s="193" t="s">
        <v>390</v>
      </c>
      <c r="K167" s="193" t="s">
        <v>416</v>
      </c>
      <c r="L167" s="283">
        <v>44440</v>
      </c>
      <c r="M167" s="281">
        <v>45900</v>
      </c>
      <c r="N167" s="195" t="s">
        <v>213</v>
      </c>
      <c r="O167" s="466">
        <v>0</v>
      </c>
      <c r="P167" s="285" t="s">
        <v>399</v>
      </c>
      <c r="Q167" s="285" t="s">
        <v>399</v>
      </c>
      <c r="R167" s="288">
        <v>0</v>
      </c>
    </row>
    <row r="168" spans="1:18" hidden="1">
      <c r="A168" s="193">
        <v>2111</v>
      </c>
      <c r="B168" s="194"/>
      <c r="C168" s="193"/>
      <c r="D168" s="193"/>
      <c r="E168" s="193"/>
      <c r="F168" s="283"/>
      <c r="G168" s="193">
        <v>5</v>
      </c>
      <c r="H168" s="282">
        <v>6</v>
      </c>
      <c r="I168" s="193">
        <v>850</v>
      </c>
      <c r="J168" s="193" t="s">
        <v>390</v>
      </c>
      <c r="K168" s="193" t="s">
        <v>416</v>
      </c>
      <c r="L168" s="283">
        <v>44805</v>
      </c>
      <c r="M168" s="281"/>
      <c r="N168" s="195" t="s">
        <v>213</v>
      </c>
      <c r="O168" s="466">
        <v>0</v>
      </c>
      <c r="P168" s="285">
        <v>45901</v>
      </c>
      <c r="Q168" s="285">
        <v>46022</v>
      </c>
      <c r="R168" s="288">
        <v>1</v>
      </c>
    </row>
    <row r="169" spans="1:18" hidden="1">
      <c r="A169" s="282">
        <v>2111</v>
      </c>
      <c r="B169" s="194"/>
      <c r="C169" s="282"/>
      <c r="D169" s="282"/>
      <c r="E169" s="282"/>
      <c r="F169" s="283"/>
      <c r="G169" s="282">
        <v>2</v>
      </c>
      <c r="H169" s="282">
        <v>3</v>
      </c>
      <c r="I169" s="282">
        <v>850</v>
      </c>
      <c r="J169" s="282" t="s">
        <v>390</v>
      </c>
      <c r="K169" s="282" t="s">
        <v>415</v>
      </c>
      <c r="L169" s="283">
        <v>45901</v>
      </c>
      <c r="M169" s="284"/>
      <c r="N169" s="287" t="s">
        <v>141</v>
      </c>
      <c r="O169" s="466">
        <v>0</v>
      </c>
      <c r="P169" s="285">
        <v>45901</v>
      </c>
      <c r="Q169" s="285">
        <v>46022</v>
      </c>
      <c r="R169" s="288">
        <v>1</v>
      </c>
    </row>
    <row r="170" spans="1:18" hidden="1">
      <c r="A170" s="282">
        <v>2127</v>
      </c>
      <c r="B170" s="194"/>
      <c r="C170" s="282"/>
      <c r="D170" s="282"/>
      <c r="E170" s="282"/>
      <c r="F170" s="283"/>
      <c r="G170" s="282">
        <v>6</v>
      </c>
      <c r="H170" s="282">
        <v>7</v>
      </c>
      <c r="I170" s="282">
        <v>850</v>
      </c>
      <c r="J170" s="282" t="s">
        <v>390</v>
      </c>
      <c r="K170" s="282" t="s">
        <v>417</v>
      </c>
      <c r="L170" s="283">
        <v>44440</v>
      </c>
      <c r="M170" s="284">
        <v>45900</v>
      </c>
      <c r="N170" s="287" t="s">
        <v>143</v>
      </c>
      <c r="O170" s="466">
        <v>0</v>
      </c>
      <c r="P170" s="285" t="s">
        <v>399</v>
      </c>
      <c r="Q170" s="285" t="s">
        <v>399</v>
      </c>
      <c r="R170" s="288">
        <v>0</v>
      </c>
    </row>
    <row r="171" spans="1:18" hidden="1">
      <c r="A171" s="282">
        <v>2127</v>
      </c>
      <c r="B171" s="194"/>
      <c r="C171" s="282"/>
      <c r="D171" s="282"/>
      <c r="E171" s="282"/>
      <c r="F171" s="283"/>
      <c r="G171" s="282">
        <v>3</v>
      </c>
      <c r="H171" s="282">
        <v>4</v>
      </c>
      <c r="I171" s="282">
        <v>850</v>
      </c>
      <c r="J171" s="282" t="s">
        <v>390</v>
      </c>
      <c r="K171" s="282" t="s">
        <v>417</v>
      </c>
      <c r="L171" s="283">
        <v>45536</v>
      </c>
      <c r="M171" s="284"/>
      <c r="N171" s="287" t="s">
        <v>143</v>
      </c>
      <c r="O171" s="466">
        <v>0</v>
      </c>
      <c r="P171" s="285">
        <v>45901</v>
      </c>
      <c r="Q171" s="285">
        <v>46022</v>
      </c>
      <c r="R171" s="288">
        <v>1</v>
      </c>
    </row>
    <row r="172" spans="1:18" hidden="1">
      <c r="A172" s="193">
        <v>2127</v>
      </c>
      <c r="B172" s="194"/>
      <c r="C172" s="193"/>
      <c r="D172" s="193"/>
      <c r="E172" s="193"/>
      <c r="F172" s="283"/>
      <c r="G172" s="193">
        <v>5</v>
      </c>
      <c r="H172" s="282">
        <v>6</v>
      </c>
      <c r="I172" s="193">
        <v>850</v>
      </c>
      <c r="J172" s="193" t="s">
        <v>390</v>
      </c>
      <c r="K172" s="193" t="s">
        <v>417</v>
      </c>
      <c r="L172" s="283">
        <v>45536</v>
      </c>
      <c r="M172" s="281"/>
      <c r="N172" s="195" t="s">
        <v>143</v>
      </c>
      <c r="O172" s="466">
        <v>0</v>
      </c>
      <c r="P172" s="285">
        <v>45901</v>
      </c>
      <c r="Q172" s="285">
        <v>46022</v>
      </c>
      <c r="R172" s="288">
        <v>1</v>
      </c>
    </row>
    <row r="173" spans="1:18" hidden="1">
      <c r="A173" s="193">
        <v>2127</v>
      </c>
      <c r="B173" s="194"/>
      <c r="C173" s="193"/>
      <c r="D173" s="193"/>
      <c r="E173" s="193"/>
      <c r="F173" s="283"/>
      <c r="G173" s="193">
        <v>6</v>
      </c>
      <c r="H173" s="282">
        <v>7</v>
      </c>
      <c r="I173" s="193">
        <v>850</v>
      </c>
      <c r="J173" s="193" t="s">
        <v>390</v>
      </c>
      <c r="K173" s="193" t="s">
        <v>417</v>
      </c>
      <c r="L173" s="283">
        <v>45033</v>
      </c>
      <c r="M173" s="281">
        <v>45900</v>
      </c>
      <c r="N173" s="195" t="s">
        <v>143</v>
      </c>
      <c r="O173" s="466">
        <v>0</v>
      </c>
      <c r="P173" s="285" t="s">
        <v>399</v>
      </c>
      <c r="Q173" s="285" t="s">
        <v>399</v>
      </c>
      <c r="R173" s="288">
        <v>0</v>
      </c>
    </row>
    <row r="174" spans="1:18" hidden="1">
      <c r="A174" s="193">
        <v>2127</v>
      </c>
      <c r="B174" s="194"/>
      <c r="C174" s="193"/>
      <c r="D174" s="193"/>
      <c r="E174" s="193"/>
      <c r="F174" s="283"/>
      <c r="G174" s="193">
        <v>4</v>
      </c>
      <c r="H174" s="282">
        <v>5</v>
      </c>
      <c r="I174" s="193">
        <v>850</v>
      </c>
      <c r="J174" s="193" t="s">
        <v>390</v>
      </c>
      <c r="K174" s="193" t="s">
        <v>417</v>
      </c>
      <c r="L174" s="283">
        <v>45170</v>
      </c>
      <c r="M174" s="281"/>
      <c r="N174" s="195" t="s">
        <v>143</v>
      </c>
      <c r="O174" s="466">
        <v>0</v>
      </c>
      <c r="P174" s="285">
        <v>45901</v>
      </c>
      <c r="Q174" s="285">
        <v>46022</v>
      </c>
      <c r="R174" s="288">
        <v>1</v>
      </c>
    </row>
    <row r="175" spans="1:18" hidden="1">
      <c r="A175" s="193">
        <v>2127</v>
      </c>
      <c r="B175" s="194"/>
      <c r="C175" s="193"/>
      <c r="D175" s="193"/>
      <c r="E175" s="193"/>
      <c r="F175" s="283"/>
      <c r="G175" s="193">
        <v>3</v>
      </c>
      <c r="H175" s="282">
        <v>4</v>
      </c>
      <c r="I175" s="193">
        <v>850</v>
      </c>
      <c r="J175" s="193" t="s">
        <v>390</v>
      </c>
      <c r="K175" s="193" t="s">
        <v>417</v>
      </c>
      <c r="L175" s="283">
        <v>45536</v>
      </c>
      <c r="M175" s="281"/>
      <c r="N175" s="195" t="s">
        <v>143</v>
      </c>
      <c r="O175" s="466">
        <v>0</v>
      </c>
      <c r="P175" s="285">
        <v>45901</v>
      </c>
      <c r="Q175" s="285">
        <v>46022</v>
      </c>
      <c r="R175" s="288">
        <v>1</v>
      </c>
    </row>
    <row r="176" spans="1:18" hidden="1">
      <c r="A176" s="193">
        <v>2127</v>
      </c>
      <c r="B176" s="194"/>
      <c r="C176" s="193"/>
      <c r="D176" s="193"/>
      <c r="E176" s="193"/>
      <c r="F176" s="283"/>
      <c r="G176" s="193">
        <v>4</v>
      </c>
      <c r="H176" s="282">
        <v>5</v>
      </c>
      <c r="I176" s="193">
        <v>850</v>
      </c>
      <c r="J176" s="193" t="s">
        <v>390</v>
      </c>
      <c r="K176" s="193" t="s">
        <v>417</v>
      </c>
      <c r="L176" s="283">
        <v>45170</v>
      </c>
      <c r="M176" s="281"/>
      <c r="N176" s="195" t="s">
        <v>143</v>
      </c>
      <c r="O176" s="466">
        <v>0</v>
      </c>
      <c r="P176" s="285">
        <v>45901</v>
      </c>
      <c r="Q176" s="285">
        <v>46022</v>
      </c>
      <c r="R176" s="288">
        <v>1</v>
      </c>
    </row>
    <row r="177" spans="1:18" hidden="1">
      <c r="A177" s="193">
        <v>2127</v>
      </c>
      <c r="B177" s="194"/>
      <c r="C177" s="193"/>
      <c r="D177" s="193"/>
      <c r="E177" s="193"/>
      <c r="F177" s="283"/>
      <c r="G177" s="479">
        <v>5</v>
      </c>
      <c r="H177" s="282">
        <v>6</v>
      </c>
      <c r="I177" s="193">
        <v>850</v>
      </c>
      <c r="J177" s="193" t="s">
        <v>390</v>
      </c>
      <c r="K177" s="193" t="s">
        <v>417</v>
      </c>
      <c r="L177" s="283">
        <v>45170</v>
      </c>
      <c r="M177" s="281"/>
      <c r="N177" s="195" t="s">
        <v>143</v>
      </c>
      <c r="O177" s="466">
        <v>0</v>
      </c>
      <c r="P177" s="285">
        <v>45901</v>
      </c>
      <c r="Q177" s="285">
        <v>46022</v>
      </c>
      <c r="R177" s="288">
        <v>1</v>
      </c>
    </row>
    <row r="178" spans="1:18" hidden="1">
      <c r="A178" s="193">
        <v>2127</v>
      </c>
      <c r="B178" s="194"/>
      <c r="C178" s="193"/>
      <c r="D178" s="193"/>
      <c r="E178" s="193"/>
      <c r="F178" s="283"/>
      <c r="G178" s="479">
        <v>6</v>
      </c>
      <c r="H178" s="282">
        <v>7</v>
      </c>
      <c r="I178" s="193">
        <v>850</v>
      </c>
      <c r="J178" s="193" t="s">
        <v>390</v>
      </c>
      <c r="K178" s="193" t="s">
        <v>417</v>
      </c>
      <c r="L178" s="283">
        <v>44440</v>
      </c>
      <c r="M178" s="281">
        <v>45900</v>
      </c>
      <c r="N178" s="195" t="s">
        <v>143</v>
      </c>
      <c r="O178" s="466">
        <v>0</v>
      </c>
      <c r="P178" s="285" t="s">
        <v>399</v>
      </c>
      <c r="Q178" s="285" t="s">
        <v>399</v>
      </c>
      <c r="R178" s="288">
        <v>0</v>
      </c>
    </row>
    <row r="179" spans="1:18" hidden="1">
      <c r="A179" s="193">
        <v>2127</v>
      </c>
      <c r="B179" s="194"/>
      <c r="C179" s="193"/>
      <c r="D179" s="193"/>
      <c r="E179" s="193"/>
      <c r="F179" s="283"/>
      <c r="G179" s="479">
        <v>5</v>
      </c>
      <c r="H179" s="282">
        <v>6</v>
      </c>
      <c r="I179" s="193">
        <v>850</v>
      </c>
      <c r="J179" s="193" t="s">
        <v>390</v>
      </c>
      <c r="K179" s="193" t="s">
        <v>417</v>
      </c>
      <c r="L179" s="283">
        <v>44805</v>
      </c>
      <c r="M179" s="281"/>
      <c r="N179" s="195" t="s">
        <v>143</v>
      </c>
      <c r="O179" s="466">
        <v>0</v>
      </c>
      <c r="P179" s="285">
        <v>45901</v>
      </c>
      <c r="Q179" s="285">
        <v>46022</v>
      </c>
      <c r="R179" s="288">
        <v>1</v>
      </c>
    </row>
    <row r="180" spans="1:18" hidden="1">
      <c r="A180" s="193">
        <v>2127</v>
      </c>
      <c r="B180" s="194"/>
      <c r="C180" s="193"/>
      <c r="D180" s="193"/>
      <c r="E180" s="193"/>
      <c r="F180" s="283"/>
      <c r="G180" s="193">
        <v>5</v>
      </c>
      <c r="H180" s="282">
        <v>6</v>
      </c>
      <c r="I180" s="193">
        <v>850</v>
      </c>
      <c r="J180" s="193" t="s">
        <v>390</v>
      </c>
      <c r="K180" s="193" t="s">
        <v>417</v>
      </c>
      <c r="L180" s="283">
        <v>44805</v>
      </c>
      <c r="M180" s="281"/>
      <c r="N180" s="195" t="s">
        <v>143</v>
      </c>
      <c r="O180" s="466">
        <v>0</v>
      </c>
      <c r="P180" s="285">
        <v>45901</v>
      </c>
      <c r="Q180" s="285">
        <v>46022</v>
      </c>
      <c r="R180" s="288">
        <v>1</v>
      </c>
    </row>
    <row r="181" spans="1:18" hidden="1">
      <c r="A181" s="282">
        <v>2220</v>
      </c>
      <c r="B181" s="194"/>
      <c r="C181" s="479"/>
      <c r="D181" s="479"/>
      <c r="E181" s="479"/>
      <c r="F181" s="480"/>
      <c r="G181" s="479">
        <v>2</v>
      </c>
      <c r="H181" s="282">
        <v>3</v>
      </c>
      <c r="I181" s="282">
        <v>850</v>
      </c>
      <c r="J181" s="282" t="s">
        <v>390</v>
      </c>
      <c r="K181" s="282" t="s">
        <v>418</v>
      </c>
      <c r="L181" s="283">
        <v>45769</v>
      </c>
      <c r="M181" s="284"/>
      <c r="N181" s="287" t="s">
        <v>142</v>
      </c>
      <c r="O181" s="466">
        <v>0</v>
      </c>
      <c r="P181" s="285">
        <v>45901</v>
      </c>
      <c r="Q181" s="285">
        <v>46022</v>
      </c>
      <c r="R181" s="288">
        <v>1</v>
      </c>
    </row>
    <row r="182" spans="1:18" hidden="1">
      <c r="A182" s="282">
        <v>2220</v>
      </c>
      <c r="B182" s="194"/>
      <c r="C182" s="479"/>
      <c r="D182" s="479"/>
      <c r="E182" s="479"/>
      <c r="F182" s="480"/>
      <c r="G182" s="479">
        <v>6</v>
      </c>
      <c r="H182" s="282">
        <v>7</v>
      </c>
      <c r="I182" s="282">
        <v>850</v>
      </c>
      <c r="J182" s="282" t="s">
        <v>390</v>
      </c>
      <c r="K182" s="282" t="s">
        <v>418</v>
      </c>
      <c r="L182" s="283">
        <v>45170</v>
      </c>
      <c r="M182" s="284">
        <v>45900</v>
      </c>
      <c r="N182" s="287" t="s">
        <v>142</v>
      </c>
      <c r="O182" s="466">
        <v>0</v>
      </c>
      <c r="P182" s="285" t="s">
        <v>399</v>
      </c>
      <c r="Q182" s="285" t="s">
        <v>399</v>
      </c>
      <c r="R182" s="288">
        <v>0</v>
      </c>
    </row>
    <row r="183" spans="1:18" hidden="1">
      <c r="A183" s="282">
        <v>2220</v>
      </c>
      <c r="B183" s="194"/>
      <c r="C183" s="479"/>
      <c r="D183" s="479"/>
      <c r="E183" s="479"/>
      <c r="F183" s="480"/>
      <c r="G183" s="479">
        <v>4</v>
      </c>
      <c r="H183" s="282">
        <v>5</v>
      </c>
      <c r="I183" s="282">
        <v>850</v>
      </c>
      <c r="J183" s="282" t="s">
        <v>390</v>
      </c>
      <c r="K183" s="282" t="s">
        <v>418</v>
      </c>
      <c r="L183" s="283">
        <v>45091</v>
      </c>
      <c r="M183" s="284"/>
      <c r="N183" s="287" t="s">
        <v>142</v>
      </c>
      <c r="O183" s="466">
        <v>0</v>
      </c>
      <c r="P183" s="285">
        <v>45901</v>
      </c>
      <c r="Q183" s="285">
        <v>46022</v>
      </c>
      <c r="R183" s="288">
        <v>1</v>
      </c>
    </row>
    <row r="184" spans="1:18" hidden="1">
      <c r="A184" s="282">
        <v>2220</v>
      </c>
      <c r="B184" s="194"/>
      <c r="C184" s="282"/>
      <c r="D184" s="282"/>
      <c r="E184" s="282"/>
      <c r="F184" s="283"/>
      <c r="G184" s="282">
        <v>6</v>
      </c>
      <c r="H184" s="282">
        <v>7</v>
      </c>
      <c r="I184" s="282">
        <v>850</v>
      </c>
      <c r="J184" s="282" t="s">
        <v>390</v>
      </c>
      <c r="K184" s="282" t="s">
        <v>418</v>
      </c>
      <c r="L184" s="283">
        <v>45064</v>
      </c>
      <c r="M184" s="284">
        <v>45900</v>
      </c>
      <c r="N184" s="195" t="s">
        <v>142</v>
      </c>
      <c r="O184" s="466">
        <v>0</v>
      </c>
      <c r="P184" s="285" t="s">
        <v>399</v>
      </c>
      <c r="Q184" s="285" t="s">
        <v>399</v>
      </c>
      <c r="R184" s="288">
        <v>0</v>
      </c>
    </row>
    <row r="185" spans="1:18" hidden="1">
      <c r="A185" s="282">
        <v>2220</v>
      </c>
      <c r="B185" s="194"/>
      <c r="C185" s="282"/>
      <c r="D185" s="282"/>
      <c r="E185" s="282"/>
      <c r="F185" s="283"/>
      <c r="G185" s="282">
        <v>4</v>
      </c>
      <c r="H185" s="282">
        <v>5</v>
      </c>
      <c r="I185" s="282">
        <v>850</v>
      </c>
      <c r="J185" s="282" t="s">
        <v>390</v>
      </c>
      <c r="K185" s="282" t="s">
        <v>418</v>
      </c>
      <c r="L185" s="283">
        <v>45103</v>
      </c>
      <c r="M185" s="284"/>
      <c r="N185" s="195" t="s">
        <v>142</v>
      </c>
      <c r="O185" s="466">
        <v>0</v>
      </c>
      <c r="P185" s="285">
        <v>45901</v>
      </c>
      <c r="Q185" s="285">
        <v>46022</v>
      </c>
      <c r="R185" s="288">
        <v>1</v>
      </c>
    </row>
    <row r="186" spans="1:18" hidden="1">
      <c r="A186" s="282">
        <v>2220</v>
      </c>
      <c r="B186" s="194"/>
      <c r="C186" s="282"/>
      <c r="D186" s="282"/>
      <c r="E186" s="282"/>
      <c r="F186" s="283"/>
      <c r="G186" s="282">
        <v>6</v>
      </c>
      <c r="H186" s="282">
        <v>7</v>
      </c>
      <c r="I186" s="282">
        <v>850</v>
      </c>
      <c r="J186" s="282" t="s">
        <v>390</v>
      </c>
      <c r="K186" s="282" t="s">
        <v>418</v>
      </c>
      <c r="L186" s="283">
        <v>45091</v>
      </c>
      <c r="M186" s="284">
        <v>45900</v>
      </c>
      <c r="N186" s="195" t="s">
        <v>142</v>
      </c>
      <c r="O186" s="466">
        <v>0</v>
      </c>
      <c r="P186" s="285" t="s">
        <v>399</v>
      </c>
      <c r="Q186" s="285" t="s">
        <v>399</v>
      </c>
      <c r="R186" s="288">
        <v>0</v>
      </c>
    </row>
    <row r="187" spans="1:18" hidden="1">
      <c r="A187" s="282">
        <v>2220</v>
      </c>
      <c r="B187" s="194"/>
      <c r="C187" s="282"/>
      <c r="D187" s="282"/>
      <c r="E187" s="282"/>
      <c r="F187" s="283"/>
      <c r="G187" s="282">
        <v>-1</v>
      </c>
      <c r="H187" s="282">
        <v>0</v>
      </c>
      <c r="I187" s="282">
        <v>850</v>
      </c>
      <c r="J187" s="282" t="s">
        <v>390</v>
      </c>
      <c r="K187" s="282" t="s">
        <v>418</v>
      </c>
      <c r="L187" s="283">
        <v>45901</v>
      </c>
      <c r="M187" s="284"/>
      <c r="N187" s="195" t="s">
        <v>142</v>
      </c>
      <c r="O187" s="466">
        <v>0</v>
      </c>
      <c r="P187" s="285">
        <v>45901</v>
      </c>
      <c r="Q187" s="285">
        <v>46022</v>
      </c>
      <c r="R187" s="288">
        <v>1</v>
      </c>
    </row>
    <row r="188" spans="1:18" hidden="1">
      <c r="A188" s="282">
        <v>2220</v>
      </c>
      <c r="B188" s="194"/>
      <c r="C188" s="282"/>
      <c r="D188" s="282"/>
      <c r="E188" s="282"/>
      <c r="F188" s="283"/>
      <c r="G188" s="282">
        <v>4</v>
      </c>
      <c r="H188" s="282">
        <v>5</v>
      </c>
      <c r="I188" s="282">
        <v>850</v>
      </c>
      <c r="J188" s="282" t="s">
        <v>390</v>
      </c>
      <c r="K188" s="282" t="s">
        <v>418</v>
      </c>
      <c r="L188" s="283">
        <v>45103</v>
      </c>
      <c r="M188" s="284"/>
      <c r="N188" s="195" t="s">
        <v>142</v>
      </c>
      <c r="O188" s="466">
        <v>0</v>
      </c>
      <c r="P188" s="285">
        <v>45901</v>
      </c>
      <c r="Q188" s="285">
        <v>46022</v>
      </c>
      <c r="R188" s="288">
        <v>1</v>
      </c>
    </row>
    <row r="189" spans="1:18" hidden="1">
      <c r="A189" s="282">
        <v>2220</v>
      </c>
      <c r="B189" s="194"/>
      <c r="C189" s="282"/>
      <c r="D189" s="282"/>
      <c r="E189" s="282"/>
      <c r="F189" s="283"/>
      <c r="G189" s="282">
        <v>6</v>
      </c>
      <c r="H189" s="282">
        <v>7</v>
      </c>
      <c r="I189" s="282">
        <v>850</v>
      </c>
      <c r="J189" s="282" t="s">
        <v>390</v>
      </c>
      <c r="K189" s="282" t="s">
        <v>418</v>
      </c>
      <c r="L189" s="283">
        <v>45091</v>
      </c>
      <c r="M189" s="284">
        <v>45900</v>
      </c>
      <c r="N189" s="195" t="s">
        <v>142</v>
      </c>
      <c r="O189" s="466">
        <v>0</v>
      </c>
      <c r="P189" s="285" t="s">
        <v>399</v>
      </c>
      <c r="Q189" s="285" t="s">
        <v>399</v>
      </c>
      <c r="R189" s="288">
        <v>0</v>
      </c>
    </row>
    <row r="190" spans="1:18" hidden="1">
      <c r="A190" s="282">
        <v>2220</v>
      </c>
      <c r="B190" s="194"/>
      <c r="C190" s="282"/>
      <c r="D190" s="282"/>
      <c r="E190" s="282"/>
      <c r="F190" s="283"/>
      <c r="G190" s="282">
        <v>0</v>
      </c>
      <c r="H190" s="282">
        <v>1</v>
      </c>
      <c r="I190" s="282">
        <v>850</v>
      </c>
      <c r="J190" s="282" t="s">
        <v>390</v>
      </c>
      <c r="K190" s="282" t="s">
        <v>418</v>
      </c>
      <c r="L190" s="283">
        <v>45548</v>
      </c>
      <c r="M190" s="281"/>
      <c r="N190" s="195" t="s">
        <v>142</v>
      </c>
      <c r="O190" s="466">
        <v>0</v>
      </c>
      <c r="P190" s="285">
        <v>45901</v>
      </c>
      <c r="Q190" s="285">
        <v>46022</v>
      </c>
      <c r="R190" s="288">
        <v>1</v>
      </c>
    </row>
    <row r="191" spans="1:18" hidden="1">
      <c r="A191" s="193">
        <v>2220</v>
      </c>
      <c r="B191" s="194"/>
      <c r="C191" s="282"/>
      <c r="D191" s="282"/>
      <c r="E191" s="282"/>
      <c r="F191" s="283"/>
      <c r="G191" s="193">
        <v>1</v>
      </c>
      <c r="H191" s="282">
        <v>2</v>
      </c>
      <c r="I191" s="282">
        <v>850</v>
      </c>
      <c r="J191" s="282" t="s">
        <v>390</v>
      </c>
      <c r="K191" s="282" t="s">
        <v>418</v>
      </c>
      <c r="L191" s="283">
        <v>45170</v>
      </c>
      <c r="M191" s="284"/>
      <c r="N191" s="467" t="s">
        <v>142</v>
      </c>
      <c r="O191" s="466">
        <v>0</v>
      </c>
      <c r="P191" s="285">
        <v>45901</v>
      </c>
      <c r="Q191" s="285">
        <v>46022</v>
      </c>
      <c r="R191" s="288">
        <v>1</v>
      </c>
    </row>
    <row r="192" spans="1:18" hidden="1">
      <c r="A192" s="193">
        <v>2220</v>
      </c>
      <c r="B192" s="194"/>
      <c r="C192" s="282"/>
      <c r="D192" s="282"/>
      <c r="E192" s="282"/>
      <c r="F192" s="283"/>
      <c r="G192" s="193">
        <v>5</v>
      </c>
      <c r="H192" s="282">
        <v>6</v>
      </c>
      <c r="I192" s="282">
        <v>850</v>
      </c>
      <c r="J192" s="282" t="s">
        <v>390</v>
      </c>
      <c r="K192" s="282" t="s">
        <v>418</v>
      </c>
      <c r="L192" s="283">
        <v>45232</v>
      </c>
      <c r="M192" s="284"/>
      <c r="N192" s="467" t="s">
        <v>142</v>
      </c>
      <c r="O192" s="466">
        <v>0</v>
      </c>
      <c r="P192" s="285">
        <v>45901</v>
      </c>
      <c r="Q192" s="285">
        <v>46022</v>
      </c>
      <c r="R192" s="288">
        <v>1</v>
      </c>
    </row>
    <row r="193" spans="1:18" hidden="1">
      <c r="A193" s="282">
        <v>2220</v>
      </c>
      <c r="B193" s="194"/>
      <c r="C193" s="282"/>
      <c r="D193" s="282"/>
      <c r="E193" s="282"/>
      <c r="F193" s="283"/>
      <c r="G193" s="282">
        <v>2</v>
      </c>
      <c r="H193" s="282">
        <v>3</v>
      </c>
      <c r="I193" s="282">
        <v>850</v>
      </c>
      <c r="J193" s="282" t="s">
        <v>390</v>
      </c>
      <c r="K193" s="282" t="s">
        <v>418</v>
      </c>
      <c r="L193" s="283">
        <v>45720</v>
      </c>
      <c r="M193" s="284"/>
      <c r="N193" s="195" t="s">
        <v>142</v>
      </c>
      <c r="O193" s="466">
        <v>0</v>
      </c>
      <c r="P193" s="285">
        <v>45901</v>
      </c>
      <c r="Q193" s="285">
        <v>46022</v>
      </c>
      <c r="R193" s="288">
        <v>1</v>
      </c>
    </row>
    <row r="194" spans="1:18" hidden="1">
      <c r="A194" s="282">
        <v>2228</v>
      </c>
      <c r="B194" s="194"/>
      <c r="C194" s="282"/>
      <c r="D194" s="282"/>
      <c r="E194" s="282"/>
      <c r="F194" s="283"/>
      <c r="G194" s="282">
        <v>-1</v>
      </c>
      <c r="H194" s="282">
        <v>0</v>
      </c>
      <c r="I194" s="282">
        <v>850</v>
      </c>
      <c r="J194" s="282" t="s">
        <v>390</v>
      </c>
      <c r="K194" s="282" t="s">
        <v>419</v>
      </c>
      <c r="L194" s="283">
        <v>45901</v>
      </c>
      <c r="M194" s="284"/>
      <c r="N194" s="195" t="s">
        <v>142</v>
      </c>
      <c r="O194" s="466">
        <v>0</v>
      </c>
      <c r="P194" s="285">
        <v>45901</v>
      </c>
      <c r="Q194" s="285">
        <v>46022</v>
      </c>
      <c r="R194" s="288">
        <v>1</v>
      </c>
    </row>
    <row r="195" spans="1:18" hidden="1">
      <c r="A195" s="282">
        <v>2228</v>
      </c>
      <c r="B195" s="194"/>
      <c r="C195" s="282"/>
      <c r="D195" s="282"/>
      <c r="E195" s="282"/>
      <c r="F195" s="283"/>
      <c r="G195" s="282">
        <v>0</v>
      </c>
      <c r="H195" s="282">
        <v>1</v>
      </c>
      <c r="I195" s="282">
        <v>850</v>
      </c>
      <c r="J195" s="282" t="s">
        <v>390</v>
      </c>
      <c r="K195" s="282" t="s">
        <v>419</v>
      </c>
      <c r="L195" s="286">
        <v>45536</v>
      </c>
      <c r="M195" s="281"/>
      <c r="N195" s="195" t="s">
        <v>142</v>
      </c>
      <c r="O195" s="466">
        <v>0</v>
      </c>
      <c r="P195" s="285">
        <v>45901</v>
      </c>
      <c r="Q195" s="285">
        <v>46022</v>
      </c>
      <c r="R195" s="288">
        <v>1</v>
      </c>
    </row>
    <row r="196" spans="1:18" hidden="1">
      <c r="A196" s="282">
        <v>2228</v>
      </c>
      <c r="B196" s="194"/>
      <c r="C196" s="282"/>
      <c r="D196" s="282"/>
      <c r="E196" s="282"/>
      <c r="F196" s="283"/>
      <c r="G196" s="282">
        <v>1</v>
      </c>
      <c r="H196" s="282">
        <v>2</v>
      </c>
      <c r="I196" s="282">
        <v>850</v>
      </c>
      <c r="J196" s="282" t="s">
        <v>390</v>
      </c>
      <c r="K196" s="282" t="s">
        <v>419</v>
      </c>
      <c r="L196" s="481">
        <v>45170</v>
      </c>
      <c r="M196" s="284"/>
      <c r="N196" s="195" t="s">
        <v>142</v>
      </c>
      <c r="O196" s="466">
        <v>0</v>
      </c>
      <c r="P196" s="285">
        <v>45901</v>
      </c>
      <c r="Q196" s="285">
        <v>46022</v>
      </c>
      <c r="R196" s="288">
        <v>1</v>
      </c>
    </row>
    <row r="197" spans="1:18" hidden="1">
      <c r="A197" s="282">
        <v>2228</v>
      </c>
      <c r="B197" s="194"/>
      <c r="C197" s="282"/>
      <c r="D197" s="282"/>
      <c r="E197" s="282"/>
      <c r="F197" s="283"/>
      <c r="G197" s="282">
        <v>2</v>
      </c>
      <c r="H197" s="282">
        <v>3</v>
      </c>
      <c r="I197" s="282">
        <v>850</v>
      </c>
      <c r="J197" s="282" t="s">
        <v>390</v>
      </c>
      <c r="K197" s="282" t="s">
        <v>419</v>
      </c>
      <c r="L197" s="283">
        <v>44805</v>
      </c>
      <c r="M197" s="284">
        <v>45900</v>
      </c>
      <c r="N197" s="195" t="s">
        <v>142</v>
      </c>
      <c r="O197" s="466">
        <v>0</v>
      </c>
      <c r="P197" s="285" t="s">
        <v>399</v>
      </c>
      <c r="Q197" s="285" t="s">
        <v>399</v>
      </c>
      <c r="R197" s="288">
        <v>0</v>
      </c>
    </row>
    <row r="198" spans="1:18" hidden="1">
      <c r="A198" s="282">
        <v>2228</v>
      </c>
      <c r="B198" s="194"/>
      <c r="C198" s="282"/>
      <c r="D198" s="282"/>
      <c r="E198" s="282"/>
      <c r="F198" s="283"/>
      <c r="G198" s="193">
        <v>0</v>
      </c>
      <c r="H198" s="282">
        <v>1</v>
      </c>
      <c r="I198" s="282">
        <v>850</v>
      </c>
      <c r="J198" s="282" t="s">
        <v>390</v>
      </c>
      <c r="K198" s="282" t="s">
        <v>419</v>
      </c>
      <c r="L198" s="283">
        <v>45901</v>
      </c>
      <c r="M198" s="281"/>
      <c r="N198" s="287" t="s">
        <v>142</v>
      </c>
      <c r="O198" s="466">
        <v>0</v>
      </c>
      <c r="P198" s="285">
        <v>45901</v>
      </c>
      <c r="Q198" s="285">
        <v>46022</v>
      </c>
      <c r="R198" s="288">
        <v>1</v>
      </c>
    </row>
    <row r="199" spans="1:18" hidden="1">
      <c r="A199" s="282">
        <v>2228</v>
      </c>
      <c r="B199" s="194"/>
      <c r="C199" s="282"/>
      <c r="D199" s="282"/>
      <c r="E199" s="282"/>
      <c r="F199" s="283"/>
      <c r="G199" s="193">
        <v>1</v>
      </c>
      <c r="H199" s="282">
        <v>2</v>
      </c>
      <c r="I199" s="282">
        <v>850</v>
      </c>
      <c r="J199" s="282" t="s">
        <v>390</v>
      </c>
      <c r="K199" s="282" t="s">
        <v>419</v>
      </c>
      <c r="L199" s="283">
        <v>45170</v>
      </c>
      <c r="M199" s="281"/>
      <c r="N199" s="287" t="s">
        <v>142</v>
      </c>
      <c r="O199" s="466">
        <v>0</v>
      </c>
      <c r="P199" s="285">
        <v>45901</v>
      </c>
      <c r="Q199" s="285">
        <v>46022</v>
      </c>
      <c r="R199" s="288">
        <v>1</v>
      </c>
    </row>
    <row r="200" spans="1:18" hidden="1">
      <c r="A200" s="193">
        <v>2228</v>
      </c>
      <c r="B200" s="194"/>
      <c r="C200" s="193"/>
      <c r="D200" s="193"/>
      <c r="E200" s="193"/>
      <c r="F200" s="283"/>
      <c r="G200" s="193">
        <v>2</v>
      </c>
      <c r="H200" s="282">
        <v>3</v>
      </c>
      <c r="I200" s="193">
        <v>850</v>
      </c>
      <c r="J200" s="193" t="s">
        <v>390</v>
      </c>
      <c r="K200" s="282" t="s">
        <v>419</v>
      </c>
      <c r="L200" s="283">
        <v>44805</v>
      </c>
      <c r="M200" s="281">
        <v>45900</v>
      </c>
      <c r="N200" s="287" t="s">
        <v>142</v>
      </c>
      <c r="O200" s="466">
        <v>0</v>
      </c>
      <c r="P200" s="285" t="s">
        <v>399</v>
      </c>
      <c r="Q200" s="285" t="s">
        <v>399</v>
      </c>
      <c r="R200" s="288">
        <v>0</v>
      </c>
    </row>
    <row r="201" spans="1:18" hidden="1">
      <c r="A201" s="193">
        <v>2228</v>
      </c>
      <c r="B201" s="194"/>
      <c r="C201" s="193"/>
      <c r="D201" s="193"/>
      <c r="E201" s="193"/>
      <c r="F201" s="283"/>
      <c r="G201" s="193">
        <v>1</v>
      </c>
      <c r="H201" s="282">
        <v>2</v>
      </c>
      <c r="I201" s="193">
        <v>850</v>
      </c>
      <c r="J201" s="193" t="s">
        <v>390</v>
      </c>
      <c r="K201" s="282" t="s">
        <v>419</v>
      </c>
      <c r="L201" s="283">
        <v>45170</v>
      </c>
      <c r="M201" s="281"/>
      <c r="N201" s="287" t="s">
        <v>142</v>
      </c>
      <c r="O201" s="466">
        <v>0</v>
      </c>
      <c r="P201" s="285">
        <v>45901</v>
      </c>
      <c r="Q201" s="285">
        <v>46022</v>
      </c>
      <c r="R201" s="288">
        <v>1</v>
      </c>
    </row>
    <row r="202" spans="1:18" hidden="1">
      <c r="A202" s="193">
        <v>2228</v>
      </c>
      <c r="B202" s="194"/>
      <c r="C202" s="193"/>
      <c r="D202" s="193"/>
      <c r="E202" s="193"/>
      <c r="F202" s="283"/>
      <c r="G202" s="193">
        <v>1</v>
      </c>
      <c r="H202" s="282">
        <v>2</v>
      </c>
      <c r="I202" s="193">
        <v>850</v>
      </c>
      <c r="J202" s="193" t="s">
        <v>390</v>
      </c>
      <c r="K202" s="282" t="s">
        <v>419</v>
      </c>
      <c r="L202" s="283">
        <v>45170</v>
      </c>
      <c r="M202" s="281">
        <v>45789</v>
      </c>
      <c r="N202" s="195" t="s">
        <v>142</v>
      </c>
      <c r="O202" s="466">
        <v>0</v>
      </c>
      <c r="P202" s="285" t="s">
        <v>399</v>
      </c>
      <c r="Q202" s="285" t="s">
        <v>399</v>
      </c>
      <c r="R202" s="288">
        <v>0</v>
      </c>
    </row>
    <row r="203" spans="1:18" hidden="1">
      <c r="A203" s="193">
        <v>2228</v>
      </c>
      <c r="B203" s="194"/>
      <c r="C203" s="193"/>
      <c r="D203" s="193"/>
      <c r="E203" s="193"/>
      <c r="F203" s="283"/>
      <c r="G203" s="193">
        <v>1</v>
      </c>
      <c r="H203" s="282">
        <v>2</v>
      </c>
      <c r="I203" s="193">
        <v>850</v>
      </c>
      <c r="J203" s="193" t="s">
        <v>390</v>
      </c>
      <c r="K203" s="193" t="s">
        <v>419</v>
      </c>
      <c r="L203" s="283">
        <v>45901</v>
      </c>
      <c r="M203" s="281"/>
      <c r="N203" s="195" t="s">
        <v>142</v>
      </c>
      <c r="O203" s="466">
        <v>0</v>
      </c>
      <c r="P203" s="285">
        <v>45901</v>
      </c>
      <c r="Q203" s="285">
        <v>46022</v>
      </c>
      <c r="R203" s="288">
        <v>1</v>
      </c>
    </row>
    <row r="204" spans="1:18" hidden="1">
      <c r="A204" s="193">
        <v>2228</v>
      </c>
      <c r="B204" s="194"/>
      <c r="C204" s="282"/>
      <c r="D204" s="282"/>
      <c r="E204" s="282"/>
      <c r="F204" s="283"/>
      <c r="G204" s="282">
        <v>1</v>
      </c>
      <c r="H204" s="282">
        <v>2</v>
      </c>
      <c r="I204" s="282">
        <v>850</v>
      </c>
      <c r="J204" s="282" t="s">
        <v>390</v>
      </c>
      <c r="K204" s="282" t="s">
        <v>419</v>
      </c>
      <c r="L204" s="283">
        <v>45170</v>
      </c>
      <c r="M204" s="281"/>
      <c r="N204" s="195" t="s">
        <v>142</v>
      </c>
      <c r="O204" s="466">
        <v>0</v>
      </c>
      <c r="P204" s="285">
        <v>45901</v>
      </c>
      <c r="Q204" s="285">
        <v>46022</v>
      </c>
      <c r="R204" s="288">
        <v>1</v>
      </c>
    </row>
    <row r="205" spans="1:18" hidden="1">
      <c r="A205" s="193">
        <v>2228</v>
      </c>
      <c r="B205" s="194"/>
      <c r="C205" s="282"/>
      <c r="D205" s="282"/>
      <c r="E205" s="282"/>
      <c r="F205" s="283"/>
      <c r="G205" s="282">
        <v>-1</v>
      </c>
      <c r="H205" s="282">
        <v>0</v>
      </c>
      <c r="I205" s="282">
        <v>850</v>
      </c>
      <c r="J205" s="282" t="s">
        <v>390</v>
      </c>
      <c r="K205" s="282" t="s">
        <v>419</v>
      </c>
      <c r="L205" s="283">
        <v>45901</v>
      </c>
      <c r="M205" s="281"/>
      <c r="N205" s="195" t="s">
        <v>142</v>
      </c>
      <c r="O205" s="466">
        <v>0</v>
      </c>
      <c r="P205" s="285">
        <v>45901</v>
      </c>
      <c r="Q205" s="285">
        <v>46022</v>
      </c>
      <c r="R205" s="288">
        <v>1</v>
      </c>
    </row>
    <row r="206" spans="1:18" hidden="1">
      <c r="A206" s="193">
        <v>2228</v>
      </c>
      <c r="B206" s="194"/>
      <c r="C206" s="193"/>
      <c r="D206" s="193"/>
      <c r="E206" s="193"/>
      <c r="F206" s="283"/>
      <c r="G206" s="193">
        <v>2</v>
      </c>
      <c r="H206" s="282">
        <v>3</v>
      </c>
      <c r="I206" s="193">
        <v>850</v>
      </c>
      <c r="J206" s="193" t="s">
        <v>390</v>
      </c>
      <c r="K206" s="282" t="s">
        <v>419</v>
      </c>
      <c r="L206" s="283">
        <v>44805</v>
      </c>
      <c r="M206" s="281">
        <v>45900</v>
      </c>
      <c r="N206" s="287" t="s">
        <v>142</v>
      </c>
      <c r="O206" s="466">
        <v>0</v>
      </c>
      <c r="P206" s="285" t="s">
        <v>399</v>
      </c>
      <c r="Q206" s="285" t="s">
        <v>399</v>
      </c>
      <c r="R206" s="288">
        <v>0</v>
      </c>
    </row>
    <row r="207" spans="1:18" hidden="1">
      <c r="A207" s="193">
        <v>2228</v>
      </c>
      <c r="B207" s="194"/>
      <c r="C207" s="193"/>
      <c r="D207" s="193"/>
      <c r="E207" s="193"/>
      <c r="F207" s="283"/>
      <c r="G207" s="193">
        <v>-1</v>
      </c>
      <c r="H207" s="282">
        <v>0</v>
      </c>
      <c r="I207" s="193">
        <v>850</v>
      </c>
      <c r="J207" s="193" t="s">
        <v>390</v>
      </c>
      <c r="K207" s="282" t="s">
        <v>419</v>
      </c>
      <c r="L207" s="283">
        <v>45901</v>
      </c>
      <c r="M207" s="281"/>
      <c r="N207" s="287" t="s">
        <v>142</v>
      </c>
      <c r="O207" s="466">
        <v>0</v>
      </c>
      <c r="P207" s="285">
        <v>45901</v>
      </c>
      <c r="Q207" s="285">
        <v>46022</v>
      </c>
      <c r="R207" s="288">
        <v>1</v>
      </c>
    </row>
    <row r="208" spans="1:18" hidden="1">
      <c r="A208" s="193">
        <v>2228</v>
      </c>
      <c r="B208" s="194"/>
      <c r="C208" s="282"/>
      <c r="D208" s="282"/>
      <c r="E208" s="282"/>
      <c r="F208" s="283"/>
      <c r="G208" s="193">
        <v>0</v>
      </c>
      <c r="H208" s="282">
        <v>1</v>
      </c>
      <c r="I208" s="282">
        <v>850</v>
      </c>
      <c r="J208" s="282" t="s">
        <v>390</v>
      </c>
      <c r="K208" s="282" t="s">
        <v>419</v>
      </c>
      <c r="L208" s="283">
        <v>45536</v>
      </c>
      <c r="M208" s="281"/>
      <c r="N208" s="195" t="s">
        <v>142</v>
      </c>
      <c r="O208" s="466">
        <v>0</v>
      </c>
      <c r="P208" s="285">
        <v>45901</v>
      </c>
      <c r="Q208" s="285">
        <v>46022</v>
      </c>
      <c r="R208" s="288">
        <v>1</v>
      </c>
    </row>
    <row r="209" spans="1:18" hidden="1">
      <c r="A209" s="193">
        <v>2228</v>
      </c>
      <c r="B209" s="194"/>
      <c r="C209" s="479"/>
      <c r="D209" s="479"/>
      <c r="E209" s="479"/>
      <c r="F209" s="480"/>
      <c r="G209" s="479">
        <v>0</v>
      </c>
      <c r="H209" s="282">
        <v>1</v>
      </c>
      <c r="I209" s="193">
        <v>850</v>
      </c>
      <c r="J209" s="193" t="s">
        <v>390</v>
      </c>
      <c r="K209" s="282" t="s">
        <v>419</v>
      </c>
      <c r="L209" s="283">
        <v>45536</v>
      </c>
      <c r="M209" s="281">
        <v>45900</v>
      </c>
      <c r="N209" s="195" t="s">
        <v>142</v>
      </c>
      <c r="O209" s="466">
        <v>0</v>
      </c>
      <c r="P209" s="285" t="s">
        <v>399</v>
      </c>
      <c r="Q209" s="285" t="s">
        <v>399</v>
      </c>
      <c r="R209" s="288">
        <v>0</v>
      </c>
    </row>
    <row r="210" spans="1:18" hidden="1">
      <c r="A210" s="193">
        <v>2228</v>
      </c>
      <c r="B210" s="194"/>
      <c r="C210" s="479"/>
      <c r="D210" s="479"/>
      <c r="E210" s="479"/>
      <c r="F210" s="480"/>
      <c r="G210" s="479">
        <v>2</v>
      </c>
      <c r="H210" s="282">
        <v>3</v>
      </c>
      <c r="I210" s="193">
        <v>850</v>
      </c>
      <c r="J210" s="193" t="s">
        <v>390</v>
      </c>
      <c r="K210" s="193" t="s">
        <v>419</v>
      </c>
      <c r="L210" s="283">
        <v>44805</v>
      </c>
      <c r="M210" s="281">
        <v>45900</v>
      </c>
      <c r="N210" s="195" t="s">
        <v>142</v>
      </c>
      <c r="O210" s="466">
        <v>0</v>
      </c>
      <c r="P210" s="285" t="s">
        <v>399</v>
      </c>
      <c r="Q210" s="285" t="s">
        <v>399</v>
      </c>
      <c r="R210" s="288">
        <v>0</v>
      </c>
    </row>
    <row r="211" spans="1:18" hidden="1">
      <c r="A211" s="193">
        <v>2228</v>
      </c>
      <c r="B211" s="194"/>
      <c r="C211" s="479"/>
      <c r="D211" s="479"/>
      <c r="E211" s="479"/>
      <c r="F211" s="480"/>
      <c r="G211" s="479">
        <v>0</v>
      </c>
      <c r="H211" s="282">
        <v>1</v>
      </c>
      <c r="I211" s="193">
        <v>850</v>
      </c>
      <c r="J211" s="193" t="s">
        <v>390</v>
      </c>
      <c r="K211" s="193" t="s">
        <v>419</v>
      </c>
      <c r="L211" s="283">
        <v>45536</v>
      </c>
      <c r="M211" s="281"/>
      <c r="N211" s="195" t="s">
        <v>142</v>
      </c>
      <c r="O211" s="466">
        <v>0</v>
      </c>
      <c r="P211" s="285">
        <v>45901</v>
      </c>
      <c r="Q211" s="285">
        <v>46022</v>
      </c>
      <c r="R211" s="288">
        <v>1</v>
      </c>
    </row>
    <row r="212" spans="1:18" hidden="1">
      <c r="A212" s="193">
        <v>2228</v>
      </c>
      <c r="B212" s="194"/>
      <c r="C212" s="479"/>
      <c r="D212" s="479"/>
      <c r="E212" s="479"/>
      <c r="F212" s="480"/>
      <c r="G212" s="479">
        <v>-1</v>
      </c>
      <c r="H212" s="282">
        <v>0</v>
      </c>
      <c r="I212" s="193">
        <v>850</v>
      </c>
      <c r="J212" s="193" t="s">
        <v>390</v>
      </c>
      <c r="K212" s="193" t="s">
        <v>419</v>
      </c>
      <c r="L212" s="283">
        <v>45901</v>
      </c>
      <c r="M212" s="281"/>
      <c r="N212" s="195" t="s">
        <v>142</v>
      </c>
      <c r="O212" s="466">
        <v>0</v>
      </c>
      <c r="P212" s="285">
        <v>45901</v>
      </c>
      <c r="Q212" s="285">
        <v>46022</v>
      </c>
      <c r="R212" s="288">
        <v>1</v>
      </c>
    </row>
    <row r="213" spans="1:18" hidden="1">
      <c r="A213" s="193">
        <v>2228</v>
      </c>
      <c r="B213" s="194"/>
      <c r="C213" s="479"/>
      <c r="D213" s="479"/>
      <c r="E213" s="479"/>
      <c r="F213" s="480"/>
      <c r="G213" s="479">
        <v>2</v>
      </c>
      <c r="H213" s="282">
        <v>3</v>
      </c>
      <c r="I213" s="193">
        <v>850</v>
      </c>
      <c r="J213" s="193" t="s">
        <v>390</v>
      </c>
      <c r="K213" s="193" t="s">
        <v>420</v>
      </c>
      <c r="L213" s="283">
        <v>44805</v>
      </c>
      <c r="M213" s="281">
        <v>45900</v>
      </c>
      <c r="N213" s="195" t="s">
        <v>143</v>
      </c>
      <c r="O213" s="466">
        <v>0</v>
      </c>
      <c r="P213" s="285" t="s">
        <v>399</v>
      </c>
      <c r="Q213" s="285" t="s">
        <v>399</v>
      </c>
      <c r="R213" s="288">
        <v>0</v>
      </c>
    </row>
    <row r="214" spans="1:18" hidden="1">
      <c r="A214" s="193">
        <v>2228</v>
      </c>
      <c r="B214" s="194"/>
      <c r="C214" s="282"/>
      <c r="D214" s="282"/>
      <c r="E214" s="282"/>
      <c r="F214" s="283"/>
      <c r="G214" s="282">
        <v>2</v>
      </c>
      <c r="H214" s="282">
        <v>3</v>
      </c>
      <c r="I214" s="282">
        <v>850</v>
      </c>
      <c r="J214" s="282" t="s">
        <v>390</v>
      </c>
      <c r="K214" s="282" t="s">
        <v>419</v>
      </c>
      <c r="L214" s="283">
        <v>44805</v>
      </c>
      <c r="M214" s="281">
        <v>45900</v>
      </c>
      <c r="N214" s="195" t="s">
        <v>142</v>
      </c>
      <c r="O214" s="466">
        <v>0</v>
      </c>
      <c r="P214" s="285" t="s">
        <v>399</v>
      </c>
      <c r="Q214" s="285" t="s">
        <v>399</v>
      </c>
      <c r="R214" s="288">
        <v>0</v>
      </c>
    </row>
    <row r="215" spans="1:18" hidden="1">
      <c r="A215" s="193">
        <v>2228</v>
      </c>
      <c r="B215" s="194"/>
      <c r="C215" s="282"/>
      <c r="D215" s="282"/>
      <c r="E215" s="282"/>
      <c r="F215" s="283"/>
      <c r="G215" s="282">
        <v>0</v>
      </c>
      <c r="H215" s="282">
        <v>1</v>
      </c>
      <c r="I215" s="282">
        <v>850</v>
      </c>
      <c r="J215" s="282" t="s">
        <v>390</v>
      </c>
      <c r="K215" s="282" t="s">
        <v>419</v>
      </c>
      <c r="L215" s="283">
        <v>45536</v>
      </c>
      <c r="M215" s="281"/>
      <c r="N215" s="195" t="s">
        <v>142</v>
      </c>
      <c r="O215" s="466">
        <v>0</v>
      </c>
      <c r="P215" s="285">
        <v>45901</v>
      </c>
      <c r="Q215" s="285">
        <v>46022</v>
      </c>
      <c r="R215" s="288">
        <v>1</v>
      </c>
    </row>
    <row r="216" spans="1:18" hidden="1">
      <c r="A216" s="193">
        <v>2228</v>
      </c>
      <c r="B216" s="194"/>
      <c r="C216" s="479"/>
      <c r="D216" s="479"/>
      <c r="E216" s="479"/>
      <c r="F216" s="480"/>
      <c r="G216" s="479">
        <v>1</v>
      </c>
      <c r="H216" s="282">
        <v>2</v>
      </c>
      <c r="I216" s="193">
        <v>850</v>
      </c>
      <c r="J216" s="193" t="s">
        <v>390</v>
      </c>
      <c r="K216" s="282" t="s">
        <v>419</v>
      </c>
      <c r="L216" s="283">
        <v>45170</v>
      </c>
      <c r="M216" s="281"/>
      <c r="N216" s="195" t="s">
        <v>142</v>
      </c>
      <c r="O216" s="466">
        <v>0</v>
      </c>
      <c r="P216" s="285">
        <v>45901</v>
      </c>
      <c r="Q216" s="285">
        <v>46022</v>
      </c>
      <c r="R216" s="288">
        <v>1</v>
      </c>
    </row>
    <row r="217" spans="1:18" hidden="1">
      <c r="A217" s="193">
        <v>2228</v>
      </c>
      <c r="B217" s="194"/>
      <c r="C217" s="282"/>
      <c r="D217" s="282"/>
      <c r="E217" s="282"/>
      <c r="F217" s="283"/>
      <c r="G217" s="193">
        <v>0</v>
      </c>
      <c r="H217" s="282">
        <v>1</v>
      </c>
      <c r="I217" s="282">
        <v>850</v>
      </c>
      <c r="J217" s="282" t="s">
        <v>390</v>
      </c>
      <c r="K217" s="282" t="s">
        <v>419</v>
      </c>
      <c r="L217" s="283">
        <v>45536</v>
      </c>
      <c r="M217" s="281"/>
      <c r="N217" s="195" t="s">
        <v>142</v>
      </c>
      <c r="O217" s="466">
        <v>0</v>
      </c>
      <c r="P217" s="285">
        <v>45901</v>
      </c>
      <c r="Q217" s="285">
        <v>46022</v>
      </c>
      <c r="R217" s="288">
        <v>1</v>
      </c>
    </row>
    <row r="218" spans="1:18" hidden="1">
      <c r="A218" s="193">
        <v>2228</v>
      </c>
      <c r="B218" s="194"/>
      <c r="C218" s="282"/>
      <c r="D218" s="282"/>
      <c r="E218" s="282"/>
      <c r="F218" s="283"/>
      <c r="G218" s="282">
        <v>0</v>
      </c>
      <c r="H218" s="282">
        <v>1</v>
      </c>
      <c r="I218" s="282">
        <v>850</v>
      </c>
      <c r="J218" s="282" t="s">
        <v>390</v>
      </c>
      <c r="K218" s="282" t="s">
        <v>419</v>
      </c>
      <c r="L218" s="283">
        <v>45728</v>
      </c>
      <c r="M218" s="281"/>
      <c r="N218" s="195" t="s">
        <v>142</v>
      </c>
      <c r="O218" s="466">
        <v>0</v>
      </c>
      <c r="P218" s="285">
        <v>45901</v>
      </c>
      <c r="Q218" s="285">
        <v>46022</v>
      </c>
      <c r="R218" s="288">
        <v>1</v>
      </c>
    </row>
    <row r="219" spans="1:18" hidden="1">
      <c r="A219" s="193">
        <v>2228</v>
      </c>
      <c r="B219" s="194"/>
      <c r="C219" s="282"/>
      <c r="D219" s="282"/>
      <c r="E219" s="282"/>
      <c r="F219" s="283"/>
      <c r="G219" s="282">
        <v>-1</v>
      </c>
      <c r="H219" s="282">
        <v>0</v>
      </c>
      <c r="I219" s="282">
        <v>850</v>
      </c>
      <c r="J219" s="282" t="s">
        <v>390</v>
      </c>
      <c r="K219" s="282" t="s">
        <v>419</v>
      </c>
      <c r="L219" s="283">
        <v>45901</v>
      </c>
      <c r="M219" s="281"/>
      <c r="N219" s="195" t="s">
        <v>142</v>
      </c>
      <c r="O219" s="466">
        <v>0</v>
      </c>
      <c r="P219" s="285">
        <v>45901</v>
      </c>
      <c r="Q219" s="285">
        <v>46022</v>
      </c>
      <c r="R219" s="288">
        <v>1</v>
      </c>
    </row>
    <row r="220" spans="1:18" hidden="1">
      <c r="A220" s="193">
        <v>2228</v>
      </c>
      <c r="B220" s="194"/>
      <c r="C220" s="193"/>
      <c r="D220" s="193"/>
      <c r="E220" s="193"/>
      <c r="F220" s="283"/>
      <c r="G220" s="193">
        <v>0</v>
      </c>
      <c r="H220" s="282">
        <v>1</v>
      </c>
      <c r="I220" s="193">
        <v>850</v>
      </c>
      <c r="J220" s="193" t="s">
        <v>390</v>
      </c>
      <c r="K220" s="282" t="s">
        <v>419</v>
      </c>
      <c r="L220" s="283">
        <v>45536</v>
      </c>
      <c r="M220" s="281"/>
      <c r="N220" s="195" t="s">
        <v>142</v>
      </c>
      <c r="O220" s="466">
        <v>0</v>
      </c>
      <c r="P220" s="285">
        <v>45901</v>
      </c>
      <c r="Q220" s="285">
        <v>46022</v>
      </c>
      <c r="R220" s="288">
        <v>1</v>
      </c>
    </row>
    <row r="221" spans="1:18" hidden="1">
      <c r="A221" s="193">
        <v>2228</v>
      </c>
      <c r="B221" s="194"/>
      <c r="C221" s="193"/>
      <c r="D221" s="193"/>
      <c r="E221" s="193"/>
      <c r="F221" s="283"/>
      <c r="G221" s="193">
        <v>1</v>
      </c>
      <c r="H221" s="282">
        <v>2</v>
      </c>
      <c r="I221" s="193">
        <v>850</v>
      </c>
      <c r="J221" s="193" t="s">
        <v>390</v>
      </c>
      <c r="K221" s="282" t="s">
        <v>419</v>
      </c>
      <c r="L221" s="283">
        <v>45170</v>
      </c>
      <c r="M221" s="281"/>
      <c r="N221" s="195" t="s">
        <v>142</v>
      </c>
      <c r="O221" s="466">
        <v>0</v>
      </c>
      <c r="P221" s="285">
        <v>45901</v>
      </c>
      <c r="Q221" s="285">
        <v>46022</v>
      </c>
      <c r="R221" s="288">
        <v>1</v>
      </c>
    </row>
    <row r="222" spans="1:18" hidden="1">
      <c r="A222" s="193">
        <v>2228</v>
      </c>
      <c r="B222" s="194"/>
      <c r="C222" s="282"/>
      <c r="D222" s="282"/>
      <c r="E222" s="282"/>
      <c r="F222" s="283"/>
      <c r="G222" s="282">
        <v>0</v>
      </c>
      <c r="H222" s="282">
        <v>1</v>
      </c>
      <c r="I222" s="282">
        <v>850</v>
      </c>
      <c r="J222" s="282" t="s">
        <v>390</v>
      </c>
      <c r="K222" s="282" t="s">
        <v>419</v>
      </c>
      <c r="L222" s="283">
        <v>45536</v>
      </c>
      <c r="M222" s="281"/>
      <c r="N222" s="195" t="s">
        <v>142</v>
      </c>
      <c r="O222" s="466">
        <v>0</v>
      </c>
      <c r="P222" s="285">
        <v>45901</v>
      </c>
      <c r="Q222" s="285">
        <v>46022</v>
      </c>
      <c r="R222" s="288">
        <v>1</v>
      </c>
    </row>
    <row r="223" spans="1:18" hidden="1">
      <c r="A223" s="193">
        <v>2228</v>
      </c>
      <c r="B223" s="194"/>
      <c r="C223" s="193"/>
      <c r="D223" s="193"/>
      <c r="E223" s="193"/>
      <c r="F223" s="283"/>
      <c r="G223" s="193">
        <v>-1</v>
      </c>
      <c r="H223" s="282">
        <v>0</v>
      </c>
      <c r="I223" s="193">
        <v>850</v>
      </c>
      <c r="J223" s="193" t="s">
        <v>390</v>
      </c>
      <c r="K223" s="282" t="s">
        <v>419</v>
      </c>
      <c r="L223" s="283">
        <v>45901</v>
      </c>
      <c r="M223" s="281"/>
      <c r="N223" s="195" t="s">
        <v>142</v>
      </c>
      <c r="O223" s="466">
        <v>0</v>
      </c>
      <c r="P223" s="285">
        <v>45901</v>
      </c>
      <c r="Q223" s="285">
        <v>46022</v>
      </c>
      <c r="R223" s="288">
        <v>1</v>
      </c>
    </row>
    <row r="224" spans="1:18" hidden="1">
      <c r="A224" s="193">
        <v>2228</v>
      </c>
      <c r="B224" s="194"/>
      <c r="C224" s="193"/>
      <c r="D224" s="193"/>
      <c r="E224" s="193"/>
      <c r="F224" s="283"/>
      <c r="G224" s="193">
        <v>1</v>
      </c>
      <c r="H224" s="282">
        <v>2</v>
      </c>
      <c r="I224" s="193">
        <v>850</v>
      </c>
      <c r="J224" s="193" t="s">
        <v>390</v>
      </c>
      <c r="K224" s="282" t="s">
        <v>419</v>
      </c>
      <c r="L224" s="283">
        <v>45901</v>
      </c>
      <c r="M224" s="281"/>
      <c r="N224" s="195" t="s">
        <v>142</v>
      </c>
      <c r="O224" s="466">
        <v>0</v>
      </c>
      <c r="P224" s="285">
        <v>45901</v>
      </c>
      <c r="Q224" s="285">
        <v>46022</v>
      </c>
      <c r="R224" s="288">
        <v>1</v>
      </c>
    </row>
    <row r="225" spans="1:18" hidden="1">
      <c r="A225" s="193">
        <v>2237</v>
      </c>
      <c r="B225" s="194"/>
      <c r="C225" s="193"/>
      <c r="D225" s="193"/>
      <c r="E225" s="193"/>
      <c r="F225" s="283"/>
      <c r="G225" s="193">
        <v>0</v>
      </c>
      <c r="H225" s="282">
        <v>1</v>
      </c>
      <c r="I225" s="193">
        <v>850</v>
      </c>
      <c r="J225" s="193" t="s">
        <v>390</v>
      </c>
      <c r="K225" s="193" t="s">
        <v>421</v>
      </c>
      <c r="L225" s="283">
        <v>45536</v>
      </c>
      <c r="M225" s="281"/>
      <c r="N225" s="195" t="s">
        <v>142</v>
      </c>
      <c r="O225" s="466">
        <v>0</v>
      </c>
      <c r="P225" s="285">
        <v>45901</v>
      </c>
      <c r="Q225" s="285">
        <v>46022</v>
      </c>
      <c r="R225" s="288">
        <v>1</v>
      </c>
    </row>
    <row r="226" spans="1:18" hidden="1">
      <c r="A226" s="193">
        <v>2237</v>
      </c>
      <c r="B226" s="194"/>
      <c r="C226" s="193"/>
      <c r="D226" s="193"/>
      <c r="E226" s="193"/>
      <c r="F226" s="283"/>
      <c r="G226" s="193">
        <v>4</v>
      </c>
      <c r="H226" s="282">
        <v>5</v>
      </c>
      <c r="I226" s="193">
        <v>850</v>
      </c>
      <c r="J226" s="193" t="s">
        <v>390</v>
      </c>
      <c r="K226" s="282" t="s">
        <v>421</v>
      </c>
      <c r="L226" s="283">
        <v>45170</v>
      </c>
      <c r="M226" s="281"/>
      <c r="N226" s="195" t="s">
        <v>142</v>
      </c>
      <c r="O226" s="466">
        <v>0</v>
      </c>
      <c r="P226" s="285">
        <v>45901</v>
      </c>
      <c r="Q226" s="285">
        <v>46022</v>
      </c>
      <c r="R226" s="288">
        <v>1</v>
      </c>
    </row>
    <row r="227" spans="1:18" hidden="1">
      <c r="A227" s="193">
        <v>2237</v>
      </c>
      <c r="B227" s="194"/>
      <c r="C227" s="193"/>
      <c r="D227" s="193"/>
      <c r="E227" s="193"/>
      <c r="F227" s="283"/>
      <c r="G227" s="193">
        <v>2</v>
      </c>
      <c r="H227" s="282">
        <v>3</v>
      </c>
      <c r="I227" s="193">
        <v>850</v>
      </c>
      <c r="J227" s="193" t="s">
        <v>390</v>
      </c>
      <c r="K227" s="282" t="s">
        <v>421</v>
      </c>
      <c r="L227" s="283">
        <v>44805</v>
      </c>
      <c r="M227" s="281">
        <v>45900</v>
      </c>
      <c r="N227" s="195" t="s">
        <v>142</v>
      </c>
      <c r="O227" s="466">
        <v>0</v>
      </c>
      <c r="P227" s="285" t="s">
        <v>399</v>
      </c>
      <c r="Q227" s="285" t="s">
        <v>399</v>
      </c>
      <c r="R227" s="288">
        <v>0</v>
      </c>
    </row>
    <row r="228" spans="1:18" hidden="1">
      <c r="A228" s="193">
        <v>2237</v>
      </c>
      <c r="B228" s="194"/>
      <c r="C228" s="193"/>
      <c r="D228" s="193"/>
      <c r="E228" s="193"/>
      <c r="F228" s="283"/>
      <c r="G228" s="193">
        <v>0</v>
      </c>
      <c r="H228" s="282">
        <v>1</v>
      </c>
      <c r="I228" s="193">
        <v>850</v>
      </c>
      <c r="J228" s="193" t="s">
        <v>390</v>
      </c>
      <c r="K228" s="282" t="s">
        <v>421</v>
      </c>
      <c r="L228" s="283">
        <v>45170</v>
      </c>
      <c r="M228" s="281"/>
      <c r="N228" s="195" t="s">
        <v>142</v>
      </c>
      <c r="O228" s="466">
        <v>0</v>
      </c>
      <c r="P228" s="285">
        <v>45901</v>
      </c>
      <c r="Q228" s="285">
        <v>46022</v>
      </c>
      <c r="R228" s="288">
        <v>1</v>
      </c>
    </row>
    <row r="229" spans="1:18" hidden="1">
      <c r="A229" s="193">
        <v>2237</v>
      </c>
      <c r="B229" s="194"/>
      <c r="C229" s="479"/>
      <c r="D229" s="479"/>
      <c r="E229" s="479"/>
      <c r="F229" s="480"/>
      <c r="G229" s="479">
        <v>1</v>
      </c>
      <c r="H229" s="282">
        <v>2</v>
      </c>
      <c r="I229" s="282">
        <v>850</v>
      </c>
      <c r="J229" s="282" t="s">
        <v>390</v>
      </c>
      <c r="K229" s="282" t="s">
        <v>421</v>
      </c>
      <c r="L229" s="283">
        <v>45170</v>
      </c>
      <c r="M229" s="281"/>
      <c r="N229" s="195" t="s">
        <v>142</v>
      </c>
      <c r="O229" s="466">
        <v>0</v>
      </c>
      <c r="P229" s="285">
        <v>45901</v>
      </c>
      <c r="Q229" s="285">
        <v>46022</v>
      </c>
      <c r="R229" s="288">
        <v>1</v>
      </c>
    </row>
    <row r="230" spans="1:18" hidden="1">
      <c r="A230" s="193">
        <v>2237</v>
      </c>
      <c r="B230" s="194"/>
      <c r="C230" s="193"/>
      <c r="D230" s="193"/>
      <c r="E230" s="193"/>
      <c r="F230" s="283"/>
      <c r="G230" s="193">
        <v>0</v>
      </c>
      <c r="H230" s="282">
        <v>1</v>
      </c>
      <c r="I230" s="193">
        <v>850</v>
      </c>
      <c r="J230" s="193" t="s">
        <v>390</v>
      </c>
      <c r="K230" s="193" t="s">
        <v>421</v>
      </c>
      <c r="L230" s="283">
        <v>44805</v>
      </c>
      <c r="M230" s="281"/>
      <c r="N230" s="195" t="s">
        <v>142</v>
      </c>
      <c r="O230" s="466">
        <v>0</v>
      </c>
      <c r="P230" s="285">
        <v>45901</v>
      </c>
      <c r="Q230" s="285">
        <v>46022</v>
      </c>
      <c r="R230" s="288">
        <v>1</v>
      </c>
    </row>
    <row r="231" spans="1:18" hidden="1">
      <c r="A231" s="193">
        <v>2237</v>
      </c>
      <c r="B231" s="194"/>
      <c r="C231" s="193"/>
      <c r="D231" s="193"/>
      <c r="E231" s="193"/>
      <c r="F231" s="283"/>
      <c r="G231" s="193">
        <v>4</v>
      </c>
      <c r="H231" s="282">
        <v>5</v>
      </c>
      <c r="I231" s="193">
        <v>850</v>
      </c>
      <c r="J231" s="193" t="s">
        <v>390</v>
      </c>
      <c r="K231" s="193" t="s">
        <v>421</v>
      </c>
      <c r="L231" s="283">
        <v>44083</v>
      </c>
      <c r="M231" s="281"/>
      <c r="N231" s="195" t="s">
        <v>142</v>
      </c>
      <c r="O231" s="466">
        <v>0</v>
      </c>
      <c r="P231" s="285">
        <v>45901</v>
      </c>
      <c r="Q231" s="285">
        <v>46022</v>
      </c>
      <c r="R231" s="288">
        <v>1</v>
      </c>
    </row>
    <row r="232" spans="1:18" hidden="1">
      <c r="A232" s="193">
        <v>2237</v>
      </c>
      <c r="B232" s="194"/>
      <c r="C232" s="193"/>
      <c r="D232" s="193"/>
      <c r="E232" s="193"/>
      <c r="F232" s="283"/>
      <c r="G232" s="193">
        <v>0</v>
      </c>
      <c r="H232" s="282">
        <v>1</v>
      </c>
      <c r="I232" s="193">
        <v>850</v>
      </c>
      <c r="J232" s="193" t="s">
        <v>390</v>
      </c>
      <c r="K232" s="193" t="s">
        <v>421</v>
      </c>
      <c r="L232" s="283">
        <v>45536</v>
      </c>
      <c r="M232" s="281">
        <v>45900</v>
      </c>
      <c r="N232" s="195" t="s">
        <v>142</v>
      </c>
      <c r="O232" s="466">
        <v>0</v>
      </c>
      <c r="P232" s="285" t="s">
        <v>399</v>
      </c>
      <c r="Q232" s="285" t="s">
        <v>399</v>
      </c>
      <c r="R232" s="288">
        <v>0</v>
      </c>
    </row>
    <row r="233" spans="1:18" hidden="1">
      <c r="A233" s="193">
        <v>2237</v>
      </c>
      <c r="B233" s="194"/>
      <c r="C233" s="193"/>
      <c r="D233" s="193"/>
      <c r="E233" s="193"/>
      <c r="F233" s="283"/>
      <c r="G233" s="193">
        <v>1</v>
      </c>
      <c r="H233" s="282">
        <v>2</v>
      </c>
      <c r="I233" s="193">
        <v>850</v>
      </c>
      <c r="J233" s="193" t="s">
        <v>390</v>
      </c>
      <c r="K233" s="193" t="s">
        <v>421</v>
      </c>
      <c r="L233" s="283">
        <v>45170</v>
      </c>
      <c r="M233" s="281"/>
      <c r="N233" s="195" t="s">
        <v>142</v>
      </c>
      <c r="O233" s="466">
        <v>0</v>
      </c>
      <c r="P233" s="285">
        <v>45901</v>
      </c>
      <c r="Q233" s="285">
        <v>46022</v>
      </c>
      <c r="R233" s="288">
        <v>1</v>
      </c>
    </row>
    <row r="234" spans="1:18" hidden="1">
      <c r="A234" s="282">
        <v>2237</v>
      </c>
      <c r="B234" s="194"/>
      <c r="C234" s="479"/>
      <c r="D234" s="479"/>
      <c r="E234" s="479"/>
      <c r="F234" s="480"/>
      <c r="G234" s="282">
        <v>2</v>
      </c>
      <c r="H234" s="282">
        <v>3</v>
      </c>
      <c r="I234" s="282">
        <v>850</v>
      </c>
      <c r="J234" s="282" t="s">
        <v>390</v>
      </c>
      <c r="K234" s="282" t="s">
        <v>421</v>
      </c>
      <c r="L234" s="283">
        <v>44805</v>
      </c>
      <c r="M234" s="284">
        <v>45900</v>
      </c>
      <c r="N234" s="287" t="s">
        <v>142</v>
      </c>
      <c r="O234" s="466">
        <v>0</v>
      </c>
      <c r="P234" s="285" t="s">
        <v>399</v>
      </c>
      <c r="Q234" s="285" t="s">
        <v>399</v>
      </c>
      <c r="R234" s="288">
        <v>0</v>
      </c>
    </row>
    <row r="235" spans="1:18" hidden="1">
      <c r="A235" s="282">
        <v>2291</v>
      </c>
      <c r="B235" s="194"/>
      <c r="C235" s="479"/>
      <c r="D235" s="479"/>
      <c r="E235" s="479"/>
      <c r="F235" s="480"/>
      <c r="G235" s="282">
        <v>0</v>
      </c>
      <c r="H235" s="282">
        <v>1</v>
      </c>
      <c r="I235" s="282">
        <v>850</v>
      </c>
      <c r="J235" s="282" t="s">
        <v>390</v>
      </c>
      <c r="K235" s="282" t="s">
        <v>422</v>
      </c>
      <c r="L235" s="283">
        <v>45536</v>
      </c>
      <c r="M235" s="284"/>
      <c r="N235" s="287" t="s">
        <v>143</v>
      </c>
      <c r="O235" s="466">
        <v>0</v>
      </c>
      <c r="P235" s="285">
        <v>45901</v>
      </c>
      <c r="Q235" s="285">
        <v>46022</v>
      </c>
      <c r="R235" s="288">
        <v>1</v>
      </c>
    </row>
    <row r="236" spans="1:18" hidden="1">
      <c r="A236" s="282">
        <v>2291</v>
      </c>
      <c r="B236" s="194"/>
      <c r="C236" s="479"/>
      <c r="D236" s="479"/>
      <c r="E236" s="479"/>
      <c r="F236" s="480"/>
      <c r="G236" s="282">
        <v>2</v>
      </c>
      <c r="H236" s="282">
        <v>3</v>
      </c>
      <c r="I236" s="282">
        <v>850</v>
      </c>
      <c r="J236" s="282" t="s">
        <v>390</v>
      </c>
      <c r="K236" s="282" t="s">
        <v>422</v>
      </c>
      <c r="L236" s="283">
        <v>44805</v>
      </c>
      <c r="M236" s="284"/>
      <c r="N236" s="287" t="s">
        <v>143</v>
      </c>
      <c r="O236" s="466">
        <v>0</v>
      </c>
      <c r="P236" s="285">
        <v>45901</v>
      </c>
      <c r="Q236" s="285">
        <v>46022</v>
      </c>
      <c r="R236" s="288">
        <v>1</v>
      </c>
    </row>
    <row r="237" spans="1:18" hidden="1">
      <c r="A237" s="282">
        <v>2291</v>
      </c>
      <c r="B237" s="194"/>
      <c r="C237" s="479"/>
      <c r="D237" s="479"/>
      <c r="E237" s="479"/>
      <c r="F237" s="480"/>
      <c r="G237" s="282">
        <v>0</v>
      </c>
      <c r="H237" s="282">
        <v>1</v>
      </c>
      <c r="I237" s="282">
        <v>850</v>
      </c>
      <c r="J237" s="282" t="s">
        <v>390</v>
      </c>
      <c r="K237" s="282" t="s">
        <v>422</v>
      </c>
      <c r="L237" s="283">
        <v>45536</v>
      </c>
      <c r="M237" s="284"/>
      <c r="N237" s="287" t="s">
        <v>143</v>
      </c>
      <c r="O237" s="466">
        <v>0</v>
      </c>
      <c r="P237" s="285">
        <v>45901</v>
      </c>
      <c r="Q237" s="285">
        <v>46022</v>
      </c>
      <c r="R237" s="288">
        <v>1</v>
      </c>
    </row>
    <row r="238" spans="1:18" hidden="1">
      <c r="A238" s="282">
        <v>2291</v>
      </c>
      <c r="B238" s="194"/>
      <c r="C238" s="479"/>
      <c r="D238" s="479"/>
      <c r="E238" s="479"/>
      <c r="F238" s="480"/>
      <c r="G238" s="282">
        <v>2</v>
      </c>
      <c r="H238" s="282">
        <v>3</v>
      </c>
      <c r="I238" s="282">
        <v>850</v>
      </c>
      <c r="J238" s="282" t="s">
        <v>390</v>
      </c>
      <c r="K238" s="282" t="s">
        <v>422</v>
      </c>
      <c r="L238" s="283">
        <v>44805</v>
      </c>
      <c r="M238" s="284"/>
      <c r="N238" s="287" t="s">
        <v>143</v>
      </c>
      <c r="O238" s="466">
        <v>0</v>
      </c>
      <c r="P238" s="285">
        <v>45901</v>
      </c>
      <c r="Q238" s="285">
        <v>46022</v>
      </c>
      <c r="R238" s="288">
        <v>1</v>
      </c>
    </row>
    <row r="239" spans="1:18" hidden="1">
      <c r="A239" s="193">
        <v>2291</v>
      </c>
      <c r="B239" s="194"/>
      <c r="C239" s="282"/>
      <c r="D239" s="282"/>
      <c r="E239" s="282"/>
      <c r="F239" s="283"/>
      <c r="G239" s="193">
        <v>2</v>
      </c>
      <c r="H239" s="282">
        <v>3</v>
      </c>
      <c r="I239" s="282">
        <v>850</v>
      </c>
      <c r="J239" s="282" t="s">
        <v>390</v>
      </c>
      <c r="K239" s="282" t="s">
        <v>422</v>
      </c>
      <c r="L239" s="283">
        <v>44805</v>
      </c>
      <c r="M239" s="281"/>
      <c r="N239" s="467" t="s">
        <v>143</v>
      </c>
      <c r="O239" s="466">
        <v>0</v>
      </c>
      <c r="P239" s="285">
        <v>45901</v>
      </c>
      <c r="Q239" s="285">
        <v>46022</v>
      </c>
      <c r="R239" s="288">
        <v>1</v>
      </c>
    </row>
    <row r="240" spans="1:18" hidden="1">
      <c r="A240" s="193">
        <v>2291</v>
      </c>
      <c r="B240" s="194"/>
      <c r="C240" s="282"/>
      <c r="D240" s="282"/>
      <c r="E240" s="282"/>
      <c r="F240" s="283"/>
      <c r="G240" s="193">
        <v>1</v>
      </c>
      <c r="H240" s="282">
        <v>2</v>
      </c>
      <c r="I240" s="282">
        <v>850</v>
      </c>
      <c r="J240" s="282" t="s">
        <v>390</v>
      </c>
      <c r="K240" s="282" t="s">
        <v>422</v>
      </c>
      <c r="L240" s="283">
        <v>45170</v>
      </c>
      <c r="M240" s="281"/>
      <c r="N240" s="467" t="s">
        <v>143</v>
      </c>
      <c r="O240" s="466">
        <v>0</v>
      </c>
      <c r="P240" s="285">
        <v>45901</v>
      </c>
      <c r="Q240" s="285">
        <v>46022</v>
      </c>
      <c r="R240" s="288">
        <v>1</v>
      </c>
    </row>
    <row r="241" spans="1:18" hidden="1">
      <c r="A241" s="282">
        <v>2291</v>
      </c>
      <c r="B241" s="194"/>
      <c r="C241" s="479"/>
      <c r="D241" s="479"/>
      <c r="E241" s="479"/>
      <c r="F241" s="480"/>
      <c r="G241" s="282">
        <v>1</v>
      </c>
      <c r="H241" s="282">
        <v>2</v>
      </c>
      <c r="I241" s="282">
        <v>850</v>
      </c>
      <c r="J241" s="282" t="s">
        <v>390</v>
      </c>
      <c r="K241" s="282" t="s">
        <v>422</v>
      </c>
      <c r="L241" s="283">
        <v>45170</v>
      </c>
      <c r="M241" s="284"/>
      <c r="N241" s="287" t="s">
        <v>143</v>
      </c>
      <c r="O241" s="466">
        <v>0</v>
      </c>
      <c r="P241" s="285">
        <v>45901</v>
      </c>
      <c r="Q241" s="285">
        <v>46022</v>
      </c>
      <c r="R241" s="288">
        <v>1</v>
      </c>
    </row>
    <row r="242" spans="1:18" hidden="1">
      <c r="A242" s="282">
        <v>2347</v>
      </c>
      <c r="B242" s="194"/>
      <c r="C242" s="479"/>
      <c r="D242" s="479"/>
      <c r="E242" s="479"/>
      <c r="F242" s="480"/>
      <c r="G242" s="282">
        <v>1</v>
      </c>
      <c r="H242" s="282">
        <v>2</v>
      </c>
      <c r="I242" s="282">
        <v>850</v>
      </c>
      <c r="J242" s="282" t="s">
        <v>390</v>
      </c>
      <c r="K242" s="282" t="s">
        <v>423</v>
      </c>
      <c r="L242" s="283">
        <v>45901</v>
      </c>
      <c r="M242" s="284"/>
      <c r="N242" s="287" t="s">
        <v>214</v>
      </c>
      <c r="O242" s="466" t="s">
        <v>214</v>
      </c>
      <c r="P242" s="285">
        <v>45901</v>
      </c>
      <c r="Q242" s="285">
        <v>46022</v>
      </c>
      <c r="R242" s="288">
        <v>1</v>
      </c>
    </row>
    <row r="243" spans="1:18" hidden="1">
      <c r="A243" s="282">
        <v>2347</v>
      </c>
      <c r="B243" s="194"/>
      <c r="C243" s="282"/>
      <c r="D243" s="282"/>
      <c r="E243" s="282"/>
      <c r="F243" s="283"/>
      <c r="G243" s="282">
        <v>5</v>
      </c>
      <c r="H243" s="282">
        <v>6</v>
      </c>
      <c r="I243" s="282">
        <v>850</v>
      </c>
      <c r="J243" s="282" t="s">
        <v>390</v>
      </c>
      <c r="K243" s="282" t="s">
        <v>423</v>
      </c>
      <c r="L243" s="283">
        <v>43719</v>
      </c>
      <c r="M243" s="281"/>
      <c r="N243" s="467" t="s">
        <v>214</v>
      </c>
      <c r="O243" s="466" t="s">
        <v>214</v>
      </c>
      <c r="P243" s="285">
        <v>45901</v>
      </c>
      <c r="Q243" s="285">
        <v>46022</v>
      </c>
      <c r="R243" s="288">
        <v>1</v>
      </c>
    </row>
    <row r="244" spans="1:18" hidden="1">
      <c r="A244" s="282">
        <v>2347</v>
      </c>
      <c r="B244" s="194"/>
      <c r="C244" s="282"/>
      <c r="D244" s="282"/>
      <c r="E244" s="282"/>
      <c r="F244" s="283"/>
      <c r="G244" s="282">
        <v>2</v>
      </c>
      <c r="H244" s="282">
        <v>3</v>
      </c>
      <c r="I244" s="282">
        <v>850</v>
      </c>
      <c r="J244" s="282" t="s">
        <v>390</v>
      </c>
      <c r="K244" s="282" t="s">
        <v>423</v>
      </c>
      <c r="L244" s="283">
        <v>44805</v>
      </c>
      <c r="M244" s="284"/>
      <c r="N244" s="467" t="s">
        <v>214</v>
      </c>
      <c r="O244" s="466">
        <v>0</v>
      </c>
      <c r="P244" s="285">
        <v>45901</v>
      </c>
      <c r="Q244" s="285">
        <v>46022</v>
      </c>
      <c r="R244" s="288">
        <v>1</v>
      </c>
    </row>
    <row r="245" spans="1:18" hidden="1">
      <c r="A245" s="282">
        <v>2347</v>
      </c>
      <c r="B245" s="194"/>
      <c r="C245" s="282"/>
      <c r="D245" s="282"/>
      <c r="E245" s="282"/>
      <c r="F245" s="283"/>
      <c r="G245" s="282">
        <v>3</v>
      </c>
      <c r="H245" s="282">
        <v>4</v>
      </c>
      <c r="I245" s="282">
        <v>850</v>
      </c>
      <c r="J245" s="282" t="s">
        <v>390</v>
      </c>
      <c r="K245" s="282" t="s">
        <v>423</v>
      </c>
      <c r="L245" s="283">
        <v>45901</v>
      </c>
      <c r="M245" s="284"/>
      <c r="N245" s="467" t="s">
        <v>214</v>
      </c>
      <c r="O245" s="466" t="s">
        <v>214</v>
      </c>
      <c r="P245" s="285">
        <v>45901</v>
      </c>
      <c r="Q245" s="285">
        <v>46022</v>
      </c>
      <c r="R245" s="288">
        <v>1</v>
      </c>
    </row>
    <row r="246" spans="1:18" hidden="1">
      <c r="A246" s="282">
        <v>2347</v>
      </c>
      <c r="B246" s="194"/>
      <c r="C246" s="282"/>
      <c r="D246" s="282"/>
      <c r="E246" s="282"/>
      <c r="F246" s="283"/>
      <c r="G246" s="282">
        <v>-1</v>
      </c>
      <c r="H246" s="282">
        <v>0</v>
      </c>
      <c r="I246" s="282">
        <v>850</v>
      </c>
      <c r="J246" s="282" t="s">
        <v>390</v>
      </c>
      <c r="K246" s="282" t="s">
        <v>423</v>
      </c>
      <c r="L246" s="283">
        <v>45901</v>
      </c>
      <c r="M246" s="281"/>
      <c r="N246" s="467" t="s">
        <v>214</v>
      </c>
      <c r="O246" s="466">
        <v>0</v>
      </c>
      <c r="P246" s="285">
        <v>45901</v>
      </c>
      <c r="Q246" s="285">
        <v>46022</v>
      </c>
      <c r="R246" s="288">
        <v>1</v>
      </c>
    </row>
    <row r="247" spans="1:18" hidden="1">
      <c r="A247" s="193">
        <v>2347</v>
      </c>
      <c r="B247" s="194"/>
      <c r="C247" s="482"/>
      <c r="D247" s="193"/>
      <c r="E247" s="193"/>
      <c r="F247" s="283"/>
      <c r="G247" s="282">
        <v>5</v>
      </c>
      <c r="H247" s="282">
        <v>6</v>
      </c>
      <c r="I247" s="193">
        <v>850</v>
      </c>
      <c r="J247" s="193" t="s">
        <v>390</v>
      </c>
      <c r="K247" s="193" t="s">
        <v>423</v>
      </c>
      <c r="L247" s="283">
        <v>43719</v>
      </c>
      <c r="M247" s="281"/>
      <c r="N247" s="195" t="s">
        <v>214</v>
      </c>
      <c r="O247" s="466" t="s">
        <v>214</v>
      </c>
      <c r="P247" s="285">
        <v>45901</v>
      </c>
      <c r="Q247" s="285">
        <v>46022</v>
      </c>
      <c r="R247" s="288">
        <v>1</v>
      </c>
    </row>
    <row r="248" spans="1:18" hidden="1">
      <c r="A248" s="193">
        <v>2347</v>
      </c>
      <c r="B248" s="194"/>
      <c r="C248" s="193"/>
      <c r="D248" s="193"/>
      <c r="E248" s="193"/>
      <c r="F248" s="283"/>
      <c r="G248" s="282">
        <v>0</v>
      </c>
      <c r="H248" s="282">
        <v>1</v>
      </c>
      <c r="I248" s="193">
        <v>850</v>
      </c>
      <c r="J248" s="193" t="s">
        <v>390</v>
      </c>
      <c r="K248" s="193" t="s">
        <v>423</v>
      </c>
      <c r="L248" s="283">
        <v>45536</v>
      </c>
      <c r="M248" s="281"/>
      <c r="N248" s="195" t="s">
        <v>214</v>
      </c>
      <c r="O248" s="466">
        <v>0</v>
      </c>
      <c r="P248" s="285">
        <v>45901</v>
      </c>
      <c r="Q248" s="285">
        <v>46022</v>
      </c>
      <c r="R248" s="288">
        <v>1</v>
      </c>
    </row>
    <row r="249" spans="1:18" hidden="1">
      <c r="A249" s="193">
        <v>2347</v>
      </c>
      <c r="B249" s="194"/>
      <c r="C249" s="193"/>
      <c r="D249" s="193"/>
      <c r="E249" s="193"/>
      <c r="F249" s="283"/>
      <c r="G249" s="193">
        <v>0</v>
      </c>
      <c r="H249" s="282">
        <v>1</v>
      </c>
      <c r="I249" s="193">
        <v>850</v>
      </c>
      <c r="J249" s="193" t="s">
        <v>390</v>
      </c>
      <c r="K249" s="193" t="s">
        <v>423</v>
      </c>
      <c r="L249" s="283">
        <v>45536</v>
      </c>
      <c r="M249" s="281"/>
      <c r="N249" s="195" t="s">
        <v>214</v>
      </c>
      <c r="O249" s="466" t="s">
        <v>214</v>
      </c>
      <c r="P249" s="285">
        <v>45901</v>
      </c>
      <c r="Q249" s="285">
        <v>46022</v>
      </c>
      <c r="R249" s="288">
        <v>1</v>
      </c>
    </row>
    <row r="250" spans="1:18" hidden="1">
      <c r="A250" s="282">
        <v>2377</v>
      </c>
      <c r="B250" s="194"/>
      <c r="C250" s="479"/>
      <c r="D250" s="483"/>
      <c r="E250" s="479"/>
      <c r="F250" s="480"/>
      <c r="G250" s="479">
        <v>5</v>
      </c>
      <c r="H250" s="282">
        <v>6</v>
      </c>
      <c r="I250" s="282">
        <v>850</v>
      </c>
      <c r="J250" s="282" t="s">
        <v>390</v>
      </c>
      <c r="K250" s="282" t="s">
        <v>424</v>
      </c>
      <c r="L250" s="283">
        <v>44805</v>
      </c>
      <c r="M250" s="284"/>
      <c r="N250" s="467" t="s">
        <v>143</v>
      </c>
      <c r="O250" s="466">
        <v>0</v>
      </c>
      <c r="P250" s="285">
        <v>45901</v>
      </c>
      <c r="Q250" s="285">
        <v>46022</v>
      </c>
      <c r="R250" s="288">
        <v>1</v>
      </c>
    </row>
    <row r="251" spans="1:18" hidden="1">
      <c r="A251" s="282">
        <v>2377</v>
      </c>
      <c r="B251" s="194"/>
      <c r="C251" s="282"/>
      <c r="D251" s="193"/>
      <c r="E251" s="282"/>
      <c r="F251" s="283"/>
      <c r="G251" s="282">
        <v>2</v>
      </c>
      <c r="H251" s="282">
        <v>3</v>
      </c>
      <c r="I251" s="282">
        <v>850</v>
      </c>
      <c r="J251" s="282" t="s">
        <v>390</v>
      </c>
      <c r="K251" s="282" t="s">
        <v>424</v>
      </c>
      <c r="L251" s="283">
        <v>45901</v>
      </c>
      <c r="M251" s="281"/>
      <c r="N251" s="467" t="s">
        <v>143</v>
      </c>
      <c r="O251" s="466">
        <v>0</v>
      </c>
      <c r="P251" s="285">
        <v>45901</v>
      </c>
      <c r="Q251" s="285">
        <v>46022</v>
      </c>
      <c r="R251" s="288">
        <v>1</v>
      </c>
    </row>
    <row r="252" spans="1:18" hidden="1">
      <c r="A252" s="282">
        <v>2377</v>
      </c>
      <c r="B252" s="194"/>
      <c r="C252" s="282"/>
      <c r="D252" s="282"/>
      <c r="E252" s="282"/>
      <c r="F252" s="283"/>
      <c r="G252" s="282">
        <v>6</v>
      </c>
      <c r="H252" s="282">
        <v>7</v>
      </c>
      <c r="I252" s="282">
        <v>850</v>
      </c>
      <c r="J252" s="282" t="s">
        <v>390</v>
      </c>
      <c r="K252" s="282" t="s">
        <v>424</v>
      </c>
      <c r="L252" s="283">
        <v>45005</v>
      </c>
      <c r="M252" s="281">
        <v>45900</v>
      </c>
      <c r="N252" s="467" t="s">
        <v>143</v>
      </c>
      <c r="O252" s="466">
        <v>0</v>
      </c>
      <c r="P252" s="285" t="s">
        <v>399</v>
      </c>
      <c r="Q252" s="285" t="s">
        <v>399</v>
      </c>
      <c r="R252" s="288">
        <v>0</v>
      </c>
    </row>
    <row r="253" spans="1:18" hidden="1">
      <c r="A253" s="282">
        <v>2377</v>
      </c>
      <c r="B253" s="194"/>
      <c r="C253" s="282"/>
      <c r="D253" s="282"/>
      <c r="E253" s="282"/>
      <c r="F253" s="283"/>
      <c r="G253" s="282">
        <v>6</v>
      </c>
      <c r="H253" s="282">
        <v>7</v>
      </c>
      <c r="I253" s="282">
        <v>850</v>
      </c>
      <c r="J253" s="282" t="s">
        <v>390</v>
      </c>
      <c r="K253" s="282" t="s">
        <v>424</v>
      </c>
      <c r="L253" s="283">
        <v>44621</v>
      </c>
      <c r="M253" s="281">
        <v>45900</v>
      </c>
      <c r="N253" s="287" t="s">
        <v>143</v>
      </c>
      <c r="O253" s="466">
        <v>0</v>
      </c>
      <c r="P253" s="285" t="s">
        <v>399</v>
      </c>
      <c r="Q253" s="285" t="s">
        <v>399</v>
      </c>
      <c r="R253" s="288">
        <v>0</v>
      </c>
    </row>
    <row r="254" spans="1:18" hidden="1">
      <c r="A254" s="282">
        <v>2377</v>
      </c>
      <c r="B254" s="194"/>
      <c r="C254" s="282"/>
      <c r="D254" s="282"/>
      <c r="E254" s="282"/>
      <c r="F254" s="283"/>
      <c r="G254" s="193">
        <v>6</v>
      </c>
      <c r="H254" s="282">
        <v>7</v>
      </c>
      <c r="I254" s="282">
        <v>850</v>
      </c>
      <c r="J254" s="282" t="s">
        <v>390</v>
      </c>
      <c r="K254" s="282" t="s">
        <v>424</v>
      </c>
      <c r="L254" s="283">
        <v>44440</v>
      </c>
      <c r="M254" s="281">
        <v>45900</v>
      </c>
      <c r="N254" s="467" t="s">
        <v>143</v>
      </c>
      <c r="O254" s="466">
        <v>0</v>
      </c>
      <c r="P254" s="285" t="s">
        <v>399</v>
      </c>
      <c r="Q254" s="285" t="s">
        <v>399</v>
      </c>
      <c r="R254" s="288">
        <v>0</v>
      </c>
    </row>
    <row r="255" spans="1:18" hidden="1">
      <c r="A255" s="282">
        <v>2377</v>
      </c>
      <c r="B255" s="194"/>
      <c r="C255" s="479"/>
      <c r="D255" s="479"/>
      <c r="E255" s="479"/>
      <c r="F255" s="480"/>
      <c r="G255" s="282">
        <v>5</v>
      </c>
      <c r="H255" s="282">
        <v>6</v>
      </c>
      <c r="I255" s="282">
        <v>850</v>
      </c>
      <c r="J255" s="282" t="s">
        <v>390</v>
      </c>
      <c r="K255" s="282" t="s">
        <v>424</v>
      </c>
      <c r="L255" s="283">
        <v>44805</v>
      </c>
      <c r="M255" s="284"/>
      <c r="N255" s="287" t="s">
        <v>143</v>
      </c>
      <c r="O255" s="466">
        <v>0</v>
      </c>
      <c r="P255" s="285">
        <v>45901</v>
      </c>
      <c r="Q255" s="285">
        <v>46022</v>
      </c>
      <c r="R255" s="288">
        <v>1</v>
      </c>
    </row>
    <row r="256" spans="1:18" hidden="1">
      <c r="A256" s="282">
        <v>2377</v>
      </c>
      <c r="B256" s="194"/>
      <c r="C256" s="282"/>
      <c r="D256" s="282"/>
      <c r="E256" s="282"/>
      <c r="F256" s="283"/>
      <c r="G256" s="282">
        <v>4</v>
      </c>
      <c r="H256" s="282">
        <v>5</v>
      </c>
      <c r="I256" s="282">
        <v>850</v>
      </c>
      <c r="J256" s="282" t="s">
        <v>390</v>
      </c>
      <c r="K256" s="282" t="s">
        <v>424</v>
      </c>
      <c r="L256" s="283">
        <v>45170</v>
      </c>
      <c r="M256" s="284"/>
      <c r="N256" s="287" t="s">
        <v>143</v>
      </c>
      <c r="O256" s="466">
        <v>0</v>
      </c>
      <c r="P256" s="285">
        <v>45901</v>
      </c>
      <c r="Q256" s="285">
        <v>46022</v>
      </c>
      <c r="R256" s="288">
        <v>1</v>
      </c>
    </row>
    <row r="257" spans="1:18" hidden="1">
      <c r="A257" s="282">
        <v>2377</v>
      </c>
      <c r="B257" s="194"/>
      <c r="C257" s="479"/>
      <c r="D257" s="479"/>
      <c r="E257" s="479"/>
      <c r="F257" s="480"/>
      <c r="G257" s="479">
        <v>4</v>
      </c>
      <c r="H257" s="282">
        <v>5</v>
      </c>
      <c r="I257" s="282">
        <v>850</v>
      </c>
      <c r="J257" s="282" t="s">
        <v>390</v>
      </c>
      <c r="K257" s="282" t="s">
        <v>424</v>
      </c>
      <c r="L257" s="283">
        <v>45170</v>
      </c>
      <c r="M257" s="284"/>
      <c r="N257" s="287" t="s">
        <v>143</v>
      </c>
      <c r="O257" s="466">
        <v>0</v>
      </c>
      <c r="P257" s="285">
        <v>45901</v>
      </c>
      <c r="Q257" s="285">
        <v>46022</v>
      </c>
      <c r="R257" s="288">
        <v>1</v>
      </c>
    </row>
    <row r="258" spans="1:18" hidden="1">
      <c r="A258" s="282">
        <v>2377</v>
      </c>
      <c r="B258" s="194"/>
      <c r="C258" s="282"/>
      <c r="D258" s="282"/>
      <c r="E258" s="282"/>
      <c r="F258" s="283"/>
      <c r="G258" s="282">
        <v>4</v>
      </c>
      <c r="H258" s="282">
        <v>5</v>
      </c>
      <c r="I258" s="282">
        <v>850</v>
      </c>
      <c r="J258" s="282" t="s">
        <v>390</v>
      </c>
      <c r="K258" s="282" t="s">
        <v>424</v>
      </c>
      <c r="L258" s="283">
        <v>45901</v>
      </c>
      <c r="M258" s="284"/>
      <c r="N258" s="287" t="s">
        <v>143</v>
      </c>
      <c r="O258" s="466">
        <v>0</v>
      </c>
      <c r="P258" s="285">
        <v>45901</v>
      </c>
      <c r="Q258" s="285">
        <v>46022</v>
      </c>
      <c r="R258" s="288">
        <v>1</v>
      </c>
    </row>
    <row r="259" spans="1:18" hidden="1">
      <c r="A259" s="282">
        <v>2377</v>
      </c>
      <c r="B259" s="194"/>
      <c r="C259" s="282"/>
      <c r="D259" s="282"/>
      <c r="E259" s="282"/>
      <c r="F259" s="283"/>
      <c r="G259" s="282">
        <v>2</v>
      </c>
      <c r="H259" s="282">
        <v>3</v>
      </c>
      <c r="I259" s="282">
        <v>850</v>
      </c>
      <c r="J259" s="282" t="s">
        <v>390</v>
      </c>
      <c r="K259" s="282" t="s">
        <v>424</v>
      </c>
      <c r="L259" s="283">
        <v>45901</v>
      </c>
      <c r="M259" s="284"/>
      <c r="N259" s="287" t="s">
        <v>143</v>
      </c>
      <c r="O259" s="466">
        <v>0</v>
      </c>
      <c r="P259" s="285">
        <v>45901</v>
      </c>
      <c r="Q259" s="285">
        <v>46022</v>
      </c>
      <c r="R259" s="288">
        <v>1</v>
      </c>
    </row>
    <row r="260" spans="1:18" hidden="1">
      <c r="A260" s="193">
        <v>2377</v>
      </c>
      <c r="B260" s="194"/>
      <c r="C260" s="193"/>
      <c r="D260" s="193"/>
      <c r="E260" s="193"/>
      <c r="F260" s="283"/>
      <c r="G260" s="193">
        <v>5</v>
      </c>
      <c r="H260" s="282">
        <v>6</v>
      </c>
      <c r="I260" s="193">
        <v>850</v>
      </c>
      <c r="J260" s="193" t="s">
        <v>390</v>
      </c>
      <c r="K260" s="193" t="s">
        <v>424</v>
      </c>
      <c r="L260" s="283">
        <v>44805</v>
      </c>
      <c r="M260" s="281"/>
      <c r="N260" s="195" t="s">
        <v>143</v>
      </c>
      <c r="O260" s="466">
        <v>0</v>
      </c>
      <c r="P260" s="285">
        <v>45901</v>
      </c>
      <c r="Q260" s="285">
        <v>46022</v>
      </c>
      <c r="R260" s="288">
        <v>1</v>
      </c>
    </row>
    <row r="261" spans="1:18" hidden="1">
      <c r="A261" s="282">
        <v>2377</v>
      </c>
      <c r="B261" s="194"/>
      <c r="C261" s="479"/>
      <c r="D261" s="479"/>
      <c r="E261" s="479"/>
      <c r="F261" s="480"/>
      <c r="G261" s="479">
        <v>3</v>
      </c>
      <c r="H261" s="282">
        <v>4</v>
      </c>
      <c r="I261" s="282">
        <v>850</v>
      </c>
      <c r="J261" s="282" t="s">
        <v>390</v>
      </c>
      <c r="K261" s="282" t="s">
        <v>424</v>
      </c>
      <c r="L261" s="283">
        <v>45536</v>
      </c>
      <c r="M261" s="284"/>
      <c r="N261" s="287" t="s">
        <v>143</v>
      </c>
      <c r="O261" s="466">
        <v>0</v>
      </c>
      <c r="P261" s="285">
        <v>45901</v>
      </c>
      <c r="Q261" s="285">
        <v>46022</v>
      </c>
      <c r="R261" s="288">
        <v>1</v>
      </c>
    </row>
    <row r="262" spans="1:18" hidden="1">
      <c r="A262" s="282">
        <v>2377</v>
      </c>
      <c r="B262" s="194"/>
      <c r="C262" s="479"/>
      <c r="D262" s="479"/>
      <c r="E262" s="479"/>
      <c r="F262" s="480"/>
      <c r="G262" s="479">
        <v>4</v>
      </c>
      <c r="H262" s="282">
        <v>5</v>
      </c>
      <c r="I262" s="282">
        <v>850</v>
      </c>
      <c r="J262" s="282" t="s">
        <v>390</v>
      </c>
      <c r="K262" s="282" t="s">
        <v>424</v>
      </c>
      <c r="L262" s="283">
        <v>45170</v>
      </c>
      <c r="M262" s="284"/>
      <c r="N262" s="287" t="s">
        <v>143</v>
      </c>
      <c r="O262" s="466">
        <v>0</v>
      </c>
      <c r="P262" s="285">
        <v>45901</v>
      </c>
      <c r="Q262" s="285">
        <v>46022</v>
      </c>
      <c r="R262" s="288">
        <v>1</v>
      </c>
    </row>
    <row r="263" spans="1:18" hidden="1">
      <c r="A263" s="282">
        <v>2520</v>
      </c>
      <c r="B263" s="194"/>
      <c r="C263" s="479"/>
      <c r="D263" s="479"/>
      <c r="E263" s="479"/>
      <c r="F263" s="480"/>
      <c r="G263" s="479">
        <v>-1</v>
      </c>
      <c r="H263" s="282">
        <v>0</v>
      </c>
      <c r="I263" s="282">
        <v>850</v>
      </c>
      <c r="J263" s="282" t="s">
        <v>390</v>
      </c>
      <c r="K263" s="282" t="s">
        <v>425</v>
      </c>
      <c r="L263" s="283">
        <v>45901</v>
      </c>
      <c r="M263" s="284"/>
      <c r="N263" s="287" t="s">
        <v>215</v>
      </c>
      <c r="O263" s="466" t="s">
        <v>215</v>
      </c>
      <c r="P263" s="285">
        <v>45901</v>
      </c>
      <c r="Q263" s="285">
        <v>46022</v>
      </c>
      <c r="R263" s="288">
        <v>1</v>
      </c>
    </row>
    <row r="264" spans="1:18" hidden="1">
      <c r="A264" s="282">
        <v>2520</v>
      </c>
      <c r="B264" s="194"/>
      <c r="C264" s="479"/>
      <c r="D264" s="479"/>
      <c r="E264" s="479"/>
      <c r="F264" s="480"/>
      <c r="G264" s="479">
        <v>2</v>
      </c>
      <c r="H264" s="282">
        <v>3</v>
      </c>
      <c r="I264" s="282">
        <v>850</v>
      </c>
      <c r="J264" s="282" t="s">
        <v>390</v>
      </c>
      <c r="K264" s="282" t="s">
        <v>425</v>
      </c>
      <c r="L264" s="283">
        <v>45901</v>
      </c>
      <c r="M264" s="284"/>
      <c r="N264" s="287" t="s">
        <v>215</v>
      </c>
      <c r="O264" s="466" t="s">
        <v>215</v>
      </c>
      <c r="P264" s="285">
        <v>45901</v>
      </c>
      <c r="Q264" s="285">
        <v>46022</v>
      </c>
      <c r="R264" s="288">
        <v>1</v>
      </c>
    </row>
    <row r="265" spans="1:18" hidden="1">
      <c r="A265" s="282">
        <v>2520</v>
      </c>
      <c r="B265" s="194"/>
      <c r="C265" s="282"/>
      <c r="D265" s="282"/>
      <c r="E265" s="282"/>
      <c r="F265" s="283"/>
      <c r="G265" s="282">
        <v>5</v>
      </c>
      <c r="H265" s="282">
        <v>6</v>
      </c>
      <c r="I265" s="282">
        <v>850</v>
      </c>
      <c r="J265" s="282" t="s">
        <v>390</v>
      </c>
      <c r="K265" s="282" t="s">
        <v>425</v>
      </c>
      <c r="L265" s="283">
        <v>44805</v>
      </c>
      <c r="M265" s="281"/>
      <c r="N265" s="287" t="s">
        <v>215</v>
      </c>
      <c r="O265" s="466" t="s">
        <v>215</v>
      </c>
      <c r="P265" s="285">
        <v>45901</v>
      </c>
      <c r="Q265" s="285">
        <v>46022</v>
      </c>
      <c r="R265" s="288">
        <v>1</v>
      </c>
    </row>
    <row r="266" spans="1:18" hidden="1">
      <c r="A266" s="282">
        <v>2531</v>
      </c>
      <c r="B266" s="194"/>
      <c r="C266" s="282"/>
      <c r="D266" s="282"/>
      <c r="E266" s="284"/>
      <c r="F266" s="283"/>
      <c r="G266" s="282">
        <v>5</v>
      </c>
      <c r="H266" s="282">
        <v>6</v>
      </c>
      <c r="I266" s="282">
        <v>850</v>
      </c>
      <c r="J266" s="282" t="s">
        <v>390</v>
      </c>
      <c r="K266" s="282" t="s">
        <v>426</v>
      </c>
      <c r="L266" s="283">
        <v>45536</v>
      </c>
      <c r="M266" s="284"/>
      <c r="N266" s="287" t="s">
        <v>143</v>
      </c>
      <c r="O266" s="466">
        <v>0</v>
      </c>
      <c r="P266" s="285">
        <v>45901</v>
      </c>
      <c r="Q266" s="285">
        <v>46022</v>
      </c>
      <c r="R266" s="288">
        <v>1</v>
      </c>
    </row>
    <row r="267" spans="1:18" hidden="1">
      <c r="A267" s="282">
        <v>2531</v>
      </c>
      <c r="B267" s="194"/>
      <c r="C267" s="282"/>
      <c r="D267" s="282"/>
      <c r="E267" s="282"/>
      <c r="F267" s="283"/>
      <c r="G267" s="282">
        <v>3</v>
      </c>
      <c r="H267" s="282">
        <v>4</v>
      </c>
      <c r="I267" s="282">
        <v>850</v>
      </c>
      <c r="J267" s="282" t="s">
        <v>390</v>
      </c>
      <c r="K267" s="282" t="s">
        <v>426</v>
      </c>
      <c r="L267" s="283">
        <v>45536</v>
      </c>
      <c r="M267" s="284"/>
      <c r="N267" s="287" t="s">
        <v>143</v>
      </c>
      <c r="O267" s="466">
        <v>0</v>
      </c>
      <c r="P267" s="285">
        <v>45901</v>
      </c>
      <c r="Q267" s="285">
        <v>46022</v>
      </c>
      <c r="R267" s="288">
        <v>1</v>
      </c>
    </row>
    <row r="268" spans="1:18" hidden="1">
      <c r="A268" s="282">
        <v>2531</v>
      </c>
      <c r="B268" s="194"/>
      <c r="C268" s="282"/>
      <c r="D268" s="282"/>
      <c r="E268" s="282"/>
      <c r="F268" s="283"/>
      <c r="G268" s="282">
        <v>5</v>
      </c>
      <c r="H268" s="282">
        <v>6</v>
      </c>
      <c r="I268" s="282">
        <v>850</v>
      </c>
      <c r="J268" s="282" t="s">
        <v>390</v>
      </c>
      <c r="K268" s="282" t="s">
        <v>426</v>
      </c>
      <c r="L268" s="281">
        <v>45685</v>
      </c>
      <c r="M268" s="281"/>
      <c r="N268" s="287" t="s">
        <v>143</v>
      </c>
      <c r="O268" s="466">
        <v>0</v>
      </c>
      <c r="P268" s="285">
        <v>45901</v>
      </c>
      <c r="Q268" s="285">
        <v>46022</v>
      </c>
      <c r="R268" s="288">
        <v>1</v>
      </c>
    </row>
    <row r="269" spans="1:18" hidden="1">
      <c r="A269" s="282">
        <v>2531</v>
      </c>
      <c r="B269" s="194"/>
      <c r="C269" s="282"/>
      <c r="D269" s="282"/>
      <c r="E269" s="282"/>
      <c r="F269" s="283"/>
      <c r="G269" s="282">
        <v>2</v>
      </c>
      <c r="H269" s="282">
        <v>3</v>
      </c>
      <c r="I269" s="282">
        <v>850</v>
      </c>
      <c r="J269" s="282" t="s">
        <v>390</v>
      </c>
      <c r="K269" s="282" t="s">
        <v>426</v>
      </c>
      <c r="L269" s="281">
        <v>45901</v>
      </c>
      <c r="M269" s="281"/>
      <c r="N269" s="287" t="s">
        <v>143</v>
      </c>
      <c r="O269" s="466">
        <v>0</v>
      </c>
      <c r="P269" s="285">
        <v>45901</v>
      </c>
      <c r="Q269" s="285">
        <v>46022</v>
      </c>
      <c r="R269" s="288">
        <v>1</v>
      </c>
    </row>
    <row r="270" spans="1:18" hidden="1">
      <c r="A270" s="282">
        <v>2531</v>
      </c>
      <c r="B270" s="194"/>
      <c r="C270" s="282"/>
      <c r="D270" s="282"/>
      <c r="E270" s="282"/>
      <c r="F270" s="283"/>
      <c r="G270" s="282">
        <v>3</v>
      </c>
      <c r="H270" s="282">
        <v>4</v>
      </c>
      <c r="I270" s="282">
        <v>850</v>
      </c>
      <c r="J270" s="282" t="s">
        <v>390</v>
      </c>
      <c r="K270" s="282" t="s">
        <v>426</v>
      </c>
      <c r="L270" s="286">
        <v>45536</v>
      </c>
      <c r="M270" s="281"/>
      <c r="N270" s="287" t="s">
        <v>143</v>
      </c>
      <c r="O270" s="466">
        <v>0</v>
      </c>
      <c r="P270" s="285">
        <v>45901</v>
      </c>
      <c r="Q270" s="285">
        <v>46022</v>
      </c>
      <c r="R270" s="288">
        <v>1</v>
      </c>
    </row>
    <row r="271" spans="1:18" hidden="1">
      <c r="A271" s="193">
        <v>2531</v>
      </c>
      <c r="B271" s="194"/>
      <c r="C271" s="282"/>
      <c r="D271" s="282"/>
      <c r="E271" s="282"/>
      <c r="F271" s="283"/>
      <c r="G271" s="193">
        <v>6</v>
      </c>
      <c r="H271" s="282">
        <v>7</v>
      </c>
      <c r="I271" s="282">
        <v>850</v>
      </c>
      <c r="J271" s="282" t="s">
        <v>390</v>
      </c>
      <c r="K271" s="282" t="s">
        <v>426</v>
      </c>
      <c r="L271" s="283">
        <v>44440</v>
      </c>
      <c r="M271" s="284">
        <v>45900</v>
      </c>
      <c r="N271" s="467" t="s">
        <v>143</v>
      </c>
      <c r="O271" s="466">
        <v>0</v>
      </c>
      <c r="P271" s="285" t="s">
        <v>399</v>
      </c>
      <c r="Q271" s="285" t="s">
        <v>399</v>
      </c>
      <c r="R271" s="288">
        <v>0</v>
      </c>
    </row>
    <row r="272" spans="1:18" hidden="1">
      <c r="A272" s="193">
        <v>2531</v>
      </c>
      <c r="B272" s="194"/>
      <c r="C272" s="282"/>
      <c r="D272" s="282"/>
      <c r="E272" s="282"/>
      <c r="F272" s="283"/>
      <c r="G272" s="193">
        <v>4</v>
      </c>
      <c r="H272" s="282">
        <v>5</v>
      </c>
      <c r="I272" s="282">
        <v>850</v>
      </c>
      <c r="J272" s="282" t="s">
        <v>390</v>
      </c>
      <c r="K272" s="282" t="s">
        <v>426</v>
      </c>
      <c r="L272" s="283">
        <v>45170</v>
      </c>
      <c r="M272" s="284"/>
      <c r="N272" s="467" t="s">
        <v>143</v>
      </c>
      <c r="O272" s="466">
        <v>0</v>
      </c>
      <c r="P272" s="285">
        <v>45901</v>
      </c>
      <c r="Q272" s="285">
        <v>46022</v>
      </c>
      <c r="R272" s="288">
        <v>1</v>
      </c>
    </row>
    <row r="273" spans="1:18" hidden="1">
      <c r="A273" s="193">
        <v>2531</v>
      </c>
      <c r="B273" s="194"/>
      <c r="C273" s="282"/>
      <c r="D273" s="282"/>
      <c r="E273" s="282"/>
      <c r="F273" s="283"/>
      <c r="G273" s="193">
        <v>5</v>
      </c>
      <c r="H273" s="282">
        <v>6</v>
      </c>
      <c r="I273" s="282">
        <v>850</v>
      </c>
      <c r="J273" s="282" t="s">
        <v>390</v>
      </c>
      <c r="K273" s="282" t="s">
        <v>426</v>
      </c>
      <c r="L273" s="283">
        <v>44805</v>
      </c>
      <c r="M273" s="284"/>
      <c r="N273" s="467" t="s">
        <v>143</v>
      </c>
      <c r="O273" s="466">
        <v>0</v>
      </c>
      <c r="P273" s="285">
        <v>45901</v>
      </c>
      <c r="Q273" s="285">
        <v>46022</v>
      </c>
      <c r="R273" s="288">
        <v>1</v>
      </c>
    </row>
    <row r="274" spans="1:18" hidden="1">
      <c r="A274" s="282">
        <v>2531</v>
      </c>
      <c r="B274" s="194"/>
      <c r="C274" s="282"/>
      <c r="D274" s="282"/>
      <c r="E274" s="282"/>
      <c r="F274" s="283"/>
      <c r="G274" s="282">
        <v>3</v>
      </c>
      <c r="H274" s="282">
        <v>4</v>
      </c>
      <c r="I274" s="282">
        <v>850</v>
      </c>
      <c r="J274" s="282" t="s">
        <v>390</v>
      </c>
      <c r="K274" s="282" t="s">
        <v>426</v>
      </c>
      <c r="L274" s="283">
        <v>45536</v>
      </c>
      <c r="M274" s="284"/>
      <c r="N274" s="195" t="s">
        <v>143</v>
      </c>
      <c r="O274" s="466">
        <v>0</v>
      </c>
      <c r="P274" s="285">
        <v>45901</v>
      </c>
      <c r="Q274" s="285">
        <v>46022</v>
      </c>
      <c r="R274" s="288">
        <v>1</v>
      </c>
    </row>
    <row r="275" spans="1:18" hidden="1">
      <c r="A275" s="282">
        <v>2531</v>
      </c>
      <c r="B275" s="194"/>
      <c r="C275" s="282"/>
      <c r="D275" s="282"/>
      <c r="E275" s="282"/>
      <c r="F275" s="283"/>
      <c r="G275" s="282">
        <v>3</v>
      </c>
      <c r="H275" s="282">
        <v>4</v>
      </c>
      <c r="I275" s="282">
        <v>850</v>
      </c>
      <c r="J275" s="282" t="s">
        <v>390</v>
      </c>
      <c r="K275" s="282" t="s">
        <v>426</v>
      </c>
      <c r="L275" s="283">
        <v>45536</v>
      </c>
      <c r="M275" s="284"/>
      <c r="N275" s="195" t="s">
        <v>143</v>
      </c>
      <c r="O275" s="466">
        <v>0</v>
      </c>
      <c r="P275" s="285">
        <v>45901</v>
      </c>
      <c r="Q275" s="285">
        <v>46022</v>
      </c>
      <c r="R275" s="288">
        <v>1</v>
      </c>
    </row>
    <row r="276" spans="1:18" hidden="1">
      <c r="A276" s="193">
        <v>2531</v>
      </c>
      <c r="B276" s="194"/>
      <c r="C276" s="193"/>
      <c r="D276" s="193"/>
      <c r="E276" s="193"/>
      <c r="F276" s="283"/>
      <c r="G276" s="479">
        <v>4</v>
      </c>
      <c r="H276" s="282">
        <v>5</v>
      </c>
      <c r="I276" s="193">
        <v>850</v>
      </c>
      <c r="J276" s="193" t="s">
        <v>390</v>
      </c>
      <c r="K276" s="193" t="s">
        <v>426</v>
      </c>
      <c r="L276" s="283">
        <v>45170</v>
      </c>
      <c r="M276" s="281"/>
      <c r="N276" s="195" t="s">
        <v>143</v>
      </c>
      <c r="O276" s="466">
        <v>0</v>
      </c>
      <c r="P276" s="285">
        <v>45901</v>
      </c>
      <c r="Q276" s="285">
        <v>46022</v>
      </c>
      <c r="R276" s="288">
        <v>1</v>
      </c>
    </row>
    <row r="277" spans="1:18" hidden="1">
      <c r="A277" s="193">
        <v>2531</v>
      </c>
      <c r="B277" s="194"/>
      <c r="C277" s="193"/>
      <c r="D277" s="193"/>
      <c r="E277" s="193"/>
      <c r="F277" s="283"/>
      <c r="G277" s="479">
        <v>4</v>
      </c>
      <c r="H277" s="282">
        <v>5</v>
      </c>
      <c r="I277" s="193">
        <v>850</v>
      </c>
      <c r="J277" s="193" t="s">
        <v>390</v>
      </c>
      <c r="K277" s="193" t="s">
        <v>426</v>
      </c>
      <c r="L277" s="283">
        <v>45170</v>
      </c>
      <c r="M277" s="281"/>
      <c r="N277" s="195" t="s">
        <v>143</v>
      </c>
      <c r="O277" s="466">
        <v>0</v>
      </c>
      <c r="P277" s="285">
        <v>45901</v>
      </c>
      <c r="Q277" s="285">
        <v>46022</v>
      </c>
      <c r="R277" s="288">
        <v>1</v>
      </c>
    </row>
    <row r="278" spans="1:18" hidden="1">
      <c r="A278" s="282">
        <v>2531</v>
      </c>
      <c r="B278" s="194"/>
      <c r="C278" s="282"/>
      <c r="D278" s="282"/>
      <c r="E278" s="282"/>
      <c r="F278" s="283"/>
      <c r="G278" s="282">
        <v>4</v>
      </c>
      <c r="H278" s="282">
        <v>5</v>
      </c>
      <c r="I278" s="282">
        <v>850</v>
      </c>
      <c r="J278" s="282" t="s">
        <v>390</v>
      </c>
      <c r="K278" s="282" t="s">
        <v>426</v>
      </c>
      <c r="L278" s="283">
        <v>45170</v>
      </c>
      <c r="M278" s="284"/>
      <c r="N278" s="287" t="s">
        <v>143</v>
      </c>
      <c r="O278" s="466">
        <v>0</v>
      </c>
      <c r="P278" s="285">
        <v>45901</v>
      </c>
      <c r="Q278" s="285">
        <v>46022</v>
      </c>
      <c r="R278" s="288">
        <v>1</v>
      </c>
    </row>
    <row r="279" spans="1:18" hidden="1">
      <c r="A279" s="282">
        <v>2531</v>
      </c>
      <c r="B279" s="194"/>
      <c r="C279" s="282"/>
      <c r="D279" s="282"/>
      <c r="E279" s="282"/>
      <c r="F279" s="283"/>
      <c r="G279" s="282">
        <v>3</v>
      </c>
      <c r="H279" s="282">
        <v>4</v>
      </c>
      <c r="I279" s="282">
        <v>850</v>
      </c>
      <c r="J279" s="282" t="s">
        <v>390</v>
      </c>
      <c r="K279" s="282" t="s">
        <v>426</v>
      </c>
      <c r="L279" s="283">
        <v>45536</v>
      </c>
      <c r="M279" s="284"/>
      <c r="N279" s="287" t="s">
        <v>143</v>
      </c>
      <c r="O279" s="466">
        <v>0</v>
      </c>
      <c r="P279" s="285">
        <v>45901</v>
      </c>
      <c r="Q279" s="285">
        <v>46022</v>
      </c>
      <c r="R279" s="288">
        <v>1</v>
      </c>
    </row>
    <row r="280" spans="1:18" hidden="1">
      <c r="A280" s="282">
        <v>2531</v>
      </c>
      <c r="B280" s="194"/>
      <c r="C280" s="282"/>
      <c r="D280" s="282"/>
      <c r="E280" s="282"/>
      <c r="F280" s="283"/>
      <c r="G280" s="282">
        <v>4</v>
      </c>
      <c r="H280" s="282">
        <v>5</v>
      </c>
      <c r="I280" s="282">
        <v>850</v>
      </c>
      <c r="J280" s="282" t="s">
        <v>390</v>
      </c>
      <c r="K280" s="282" t="s">
        <v>426</v>
      </c>
      <c r="L280" s="283">
        <v>45376</v>
      </c>
      <c r="M280" s="284"/>
      <c r="N280" s="287" t="s">
        <v>143</v>
      </c>
      <c r="O280" s="466">
        <v>0</v>
      </c>
      <c r="P280" s="285">
        <v>45901</v>
      </c>
      <c r="Q280" s="285">
        <v>46022</v>
      </c>
      <c r="R280" s="288">
        <v>1</v>
      </c>
    </row>
    <row r="281" spans="1:18" hidden="1">
      <c r="A281" s="282">
        <v>2531</v>
      </c>
      <c r="B281" s="194"/>
      <c r="C281" s="282"/>
      <c r="D281" s="282"/>
      <c r="E281" s="282"/>
      <c r="F281" s="283"/>
      <c r="G281" s="282">
        <v>5</v>
      </c>
      <c r="H281" s="282">
        <v>6</v>
      </c>
      <c r="I281" s="282">
        <v>850</v>
      </c>
      <c r="J281" s="282" t="s">
        <v>390</v>
      </c>
      <c r="K281" s="282" t="s">
        <v>426</v>
      </c>
      <c r="L281" s="283">
        <v>44805</v>
      </c>
      <c r="M281" s="281"/>
      <c r="N281" s="287" t="s">
        <v>143</v>
      </c>
      <c r="O281" s="466">
        <v>0</v>
      </c>
      <c r="P281" s="285">
        <v>45901</v>
      </c>
      <c r="Q281" s="285">
        <v>46022</v>
      </c>
      <c r="R281" s="288">
        <v>1</v>
      </c>
    </row>
    <row r="282" spans="1:18" hidden="1">
      <c r="A282" s="282">
        <v>2531</v>
      </c>
      <c r="B282" s="194"/>
      <c r="C282" s="282"/>
      <c r="D282" s="282"/>
      <c r="E282" s="282"/>
      <c r="F282" s="283"/>
      <c r="G282" s="282">
        <v>5</v>
      </c>
      <c r="H282" s="282">
        <v>6</v>
      </c>
      <c r="I282" s="282">
        <v>850</v>
      </c>
      <c r="J282" s="282" t="s">
        <v>390</v>
      </c>
      <c r="K282" s="282" t="s">
        <v>426</v>
      </c>
      <c r="L282" s="283">
        <v>44835</v>
      </c>
      <c r="M282" s="281"/>
      <c r="N282" s="287" t="s">
        <v>143</v>
      </c>
      <c r="O282" s="466">
        <v>0</v>
      </c>
      <c r="P282" s="285">
        <v>45901</v>
      </c>
      <c r="Q282" s="285">
        <v>46022</v>
      </c>
      <c r="R282" s="288">
        <v>1</v>
      </c>
    </row>
    <row r="283" spans="1:18" hidden="1">
      <c r="A283" s="282">
        <v>2531</v>
      </c>
      <c r="B283" s="194"/>
      <c r="C283" s="282"/>
      <c r="D283" s="282"/>
      <c r="E283" s="282"/>
      <c r="F283" s="283"/>
      <c r="G283" s="282">
        <v>6</v>
      </c>
      <c r="H283" s="282">
        <v>7</v>
      </c>
      <c r="I283" s="282">
        <v>850</v>
      </c>
      <c r="J283" s="282" t="s">
        <v>390</v>
      </c>
      <c r="K283" s="282" t="s">
        <v>426</v>
      </c>
      <c r="L283" s="286">
        <v>45536</v>
      </c>
      <c r="M283" s="284">
        <v>45900</v>
      </c>
      <c r="N283" s="287" t="s">
        <v>143</v>
      </c>
      <c r="O283" s="466">
        <v>0</v>
      </c>
      <c r="P283" s="285" t="s">
        <v>399</v>
      </c>
      <c r="Q283" s="285" t="s">
        <v>399</v>
      </c>
      <c r="R283" s="288">
        <v>0</v>
      </c>
    </row>
    <row r="284" spans="1:18" hidden="1">
      <c r="A284" s="282">
        <v>2531</v>
      </c>
      <c r="B284" s="194"/>
      <c r="C284" s="282"/>
      <c r="D284" s="282"/>
      <c r="E284" s="282"/>
      <c r="F284" s="283"/>
      <c r="G284" s="282">
        <v>3</v>
      </c>
      <c r="H284" s="282">
        <v>4</v>
      </c>
      <c r="I284" s="282">
        <v>850</v>
      </c>
      <c r="J284" s="282" t="s">
        <v>390</v>
      </c>
      <c r="K284" s="282" t="s">
        <v>426</v>
      </c>
      <c r="L284" s="283">
        <v>45536</v>
      </c>
      <c r="M284" s="281"/>
      <c r="N284" s="287" t="s">
        <v>143</v>
      </c>
      <c r="O284" s="466">
        <v>0</v>
      </c>
      <c r="P284" s="285">
        <v>45901</v>
      </c>
      <c r="Q284" s="285">
        <v>46022</v>
      </c>
      <c r="R284" s="288">
        <v>1</v>
      </c>
    </row>
    <row r="285" spans="1:18" hidden="1">
      <c r="A285" s="282">
        <v>2531</v>
      </c>
      <c r="B285" s="194"/>
      <c r="C285" s="282"/>
      <c r="D285" s="282"/>
      <c r="E285" s="282"/>
      <c r="F285" s="283"/>
      <c r="G285" s="282">
        <v>4</v>
      </c>
      <c r="H285" s="282">
        <v>5</v>
      </c>
      <c r="I285" s="282">
        <v>850</v>
      </c>
      <c r="J285" s="282" t="s">
        <v>390</v>
      </c>
      <c r="K285" s="282" t="s">
        <v>426</v>
      </c>
      <c r="L285" s="283">
        <v>45170</v>
      </c>
      <c r="M285" s="281"/>
      <c r="N285" s="195" t="s">
        <v>143</v>
      </c>
      <c r="O285" s="466">
        <v>0</v>
      </c>
      <c r="P285" s="285">
        <v>45901</v>
      </c>
      <c r="Q285" s="285">
        <v>46022</v>
      </c>
      <c r="R285" s="288">
        <v>1</v>
      </c>
    </row>
    <row r="286" spans="1:18" hidden="1">
      <c r="A286" s="193">
        <v>2531</v>
      </c>
      <c r="B286" s="194"/>
      <c r="C286" s="479"/>
      <c r="D286" s="479"/>
      <c r="E286" s="479"/>
      <c r="F286" s="480"/>
      <c r="G286" s="479">
        <v>3</v>
      </c>
      <c r="H286" s="282">
        <v>4</v>
      </c>
      <c r="I286" s="282">
        <v>850</v>
      </c>
      <c r="J286" s="282" t="s">
        <v>390</v>
      </c>
      <c r="K286" s="282" t="s">
        <v>426</v>
      </c>
      <c r="L286" s="286">
        <v>45536</v>
      </c>
      <c r="M286" s="281"/>
      <c r="N286" s="467" t="s">
        <v>143</v>
      </c>
      <c r="O286" s="466">
        <v>0</v>
      </c>
      <c r="P286" s="285">
        <v>45901</v>
      </c>
      <c r="Q286" s="285">
        <v>46022</v>
      </c>
      <c r="R286" s="288">
        <v>1</v>
      </c>
    </row>
    <row r="287" spans="1:18" hidden="1">
      <c r="A287" s="193">
        <v>2531</v>
      </c>
      <c r="B287" s="194"/>
      <c r="C287" s="479"/>
      <c r="D287" s="479"/>
      <c r="E287" s="479"/>
      <c r="F287" s="480"/>
      <c r="G287" s="479">
        <v>6</v>
      </c>
      <c r="H287" s="282">
        <v>7</v>
      </c>
      <c r="I287" s="282">
        <v>850</v>
      </c>
      <c r="J287" s="282" t="s">
        <v>390</v>
      </c>
      <c r="K287" s="282" t="s">
        <v>426</v>
      </c>
      <c r="L287" s="283">
        <v>44927</v>
      </c>
      <c r="M287" s="281">
        <v>45900</v>
      </c>
      <c r="N287" s="467" t="s">
        <v>143</v>
      </c>
      <c r="O287" s="466">
        <v>0</v>
      </c>
      <c r="P287" s="285" t="s">
        <v>399</v>
      </c>
      <c r="Q287" s="285" t="s">
        <v>399</v>
      </c>
      <c r="R287" s="288">
        <v>0</v>
      </c>
    </row>
    <row r="288" spans="1:18" hidden="1">
      <c r="A288" s="193">
        <v>2533</v>
      </c>
      <c r="B288" s="194"/>
      <c r="C288" s="479"/>
      <c r="D288" s="479"/>
      <c r="E288" s="479"/>
      <c r="F288" s="480"/>
      <c r="G288" s="479">
        <v>6</v>
      </c>
      <c r="H288" s="282">
        <v>7</v>
      </c>
      <c r="I288" s="282">
        <v>850</v>
      </c>
      <c r="J288" s="282" t="s">
        <v>390</v>
      </c>
      <c r="K288" s="282" t="s">
        <v>427</v>
      </c>
      <c r="L288" s="283">
        <v>44440</v>
      </c>
      <c r="M288" s="281">
        <v>45900</v>
      </c>
      <c r="N288" s="467" t="s">
        <v>142</v>
      </c>
      <c r="O288" s="466">
        <v>0</v>
      </c>
      <c r="P288" s="285" t="s">
        <v>399</v>
      </c>
      <c r="Q288" s="285" t="s">
        <v>399</v>
      </c>
      <c r="R288" s="288">
        <v>0</v>
      </c>
    </row>
    <row r="289" spans="1:18" hidden="1">
      <c r="A289" s="193">
        <v>2533</v>
      </c>
      <c r="B289" s="194"/>
      <c r="C289" s="479"/>
      <c r="D289" s="479"/>
      <c r="E289" s="479"/>
      <c r="F289" s="480"/>
      <c r="G289" s="479">
        <v>5</v>
      </c>
      <c r="H289" s="282">
        <v>6</v>
      </c>
      <c r="I289" s="282">
        <v>850</v>
      </c>
      <c r="J289" s="282" t="s">
        <v>390</v>
      </c>
      <c r="K289" s="282" t="s">
        <v>427</v>
      </c>
      <c r="L289" s="283">
        <v>45536</v>
      </c>
      <c r="M289" s="281"/>
      <c r="N289" s="467" t="s">
        <v>142</v>
      </c>
      <c r="O289" s="466">
        <v>0</v>
      </c>
      <c r="P289" s="285">
        <v>45901</v>
      </c>
      <c r="Q289" s="285">
        <v>46022</v>
      </c>
      <c r="R289" s="288">
        <v>1</v>
      </c>
    </row>
    <row r="290" spans="1:18" hidden="1">
      <c r="A290" s="282">
        <v>2533</v>
      </c>
      <c r="B290" s="194"/>
      <c r="C290" s="282"/>
      <c r="D290" s="282"/>
      <c r="E290" s="282"/>
      <c r="F290" s="283"/>
      <c r="G290" s="282">
        <v>3</v>
      </c>
      <c r="H290" s="282">
        <v>4</v>
      </c>
      <c r="I290" s="282">
        <v>850</v>
      </c>
      <c r="J290" s="282" t="s">
        <v>390</v>
      </c>
      <c r="K290" s="282" t="s">
        <v>427</v>
      </c>
      <c r="L290" s="283">
        <v>45536</v>
      </c>
      <c r="M290" s="284"/>
      <c r="N290" s="195" t="s">
        <v>142</v>
      </c>
      <c r="O290" s="466">
        <v>0</v>
      </c>
      <c r="P290" s="285">
        <v>45901</v>
      </c>
      <c r="Q290" s="285">
        <v>46022</v>
      </c>
      <c r="R290" s="288">
        <v>1</v>
      </c>
    </row>
    <row r="291" spans="1:18" hidden="1">
      <c r="A291" s="282">
        <v>2533</v>
      </c>
      <c r="B291" s="194"/>
      <c r="C291" s="282"/>
      <c r="D291" s="282"/>
      <c r="E291" s="282"/>
      <c r="F291" s="283"/>
      <c r="G291" s="479">
        <v>4</v>
      </c>
      <c r="H291" s="282">
        <v>5</v>
      </c>
      <c r="I291" s="282">
        <v>850</v>
      </c>
      <c r="J291" s="282" t="s">
        <v>390</v>
      </c>
      <c r="K291" s="282" t="s">
        <v>427</v>
      </c>
      <c r="L291" s="283">
        <v>45170</v>
      </c>
      <c r="M291" s="284">
        <v>45900</v>
      </c>
      <c r="N291" s="287" t="s">
        <v>142</v>
      </c>
      <c r="O291" s="466">
        <v>0</v>
      </c>
      <c r="P291" s="285" t="s">
        <v>399</v>
      </c>
      <c r="Q291" s="285" t="s">
        <v>399</v>
      </c>
      <c r="R291" s="288">
        <v>0</v>
      </c>
    </row>
    <row r="292" spans="1:18" hidden="1">
      <c r="A292" s="282">
        <v>2533</v>
      </c>
      <c r="B292" s="194"/>
      <c r="C292" s="282"/>
      <c r="D292" s="282"/>
      <c r="E292" s="284"/>
      <c r="F292" s="283"/>
      <c r="G292" s="282">
        <v>3</v>
      </c>
      <c r="H292" s="282">
        <v>4</v>
      </c>
      <c r="I292" s="282">
        <v>850</v>
      </c>
      <c r="J292" s="282" t="s">
        <v>390</v>
      </c>
      <c r="K292" s="282" t="s">
        <v>427</v>
      </c>
      <c r="L292" s="283">
        <v>45536</v>
      </c>
      <c r="M292" s="281"/>
      <c r="N292" s="287" t="s">
        <v>141</v>
      </c>
      <c r="O292" s="466">
        <v>0</v>
      </c>
      <c r="P292" s="285">
        <v>45901</v>
      </c>
      <c r="Q292" s="285">
        <v>46022</v>
      </c>
      <c r="R292" s="288">
        <v>1</v>
      </c>
    </row>
    <row r="293" spans="1:18" hidden="1">
      <c r="A293" s="282">
        <v>2533</v>
      </c>
      <c r="B293" s="194"/>
      <c r="C293" s="282"/>
      <c r="D293" s="282"/>
      <c r="E293" s="284"/>
      <c r="F293" s="283"/>
      <c r="G293" s="282">
        <v>6</v>
      </c>
      <c r="H293" s="282">
        <v>7</v>
      </c>
      <c r="I293" s="282">
        <v>850</v>
      </c>
      <c r="J293" s="282" t="s">
        <v>390</v>
      </c>
      <c r="K293" s="282" t="s">
        <v>427</v>
      </c>
      <c r="L293" s="283">
        <v>44440</v>
      </c>
      <c r="M293" s="281">
        <v>45900</v>
      </c>
      <c r="N293" s="287" t="s">
        <v>142</v>
      </c>
      <c r="O293" s="466">
        <v>0</v>
      </c>
      <c r="P293" s="285" t="s">
        <v>399</v>
      </c>
      <c r="Q293" s="285" t="s">
        <v>399</v>
      </c>
      <c r="R293" s="288">
        <v>0</v>
      </c>
    </row>
    <row r="294" spans="1:18" hidden="1">
      <c r="A294" s="282">
        <v>2533</v>
      </c>
      <c r="B294" s="194"/>
      <c r="C294" s="282"/>
      <c r="D294" s="282"/>
      <c r="E294" s="282"/>
      <c r="F294" s="283"/>
      <c r="G294" s="282">
        <v>5</v>
      </c>
      <c r="H294" s="282">
        <v>6</v>
      </c>
      <c r="I294" s="282">
        <v>850</v>
      </c>
      <c r="J294" s="282" t="s">
        <v>390</v>
      </c>
      <c r="K294" s="282" t="s">
        <v>427</v>
      </c>
      <c r="L294" s="283">
        <v>44805</v>
      </c>
      <c r="M294" s="284"/>
      <c r="N294" s="287" t="s">
        <v>142</v>
      </c>
      <c r="O294" s="466">
        <v>0</v>
      </c>
      <c r="P294" s="285">
        <v>45901</v>
      </c>
      <c r="Q294" s="285">
        <v>46022</v>
      </c>
      <c r="R294" s="288">
        <v>1</v>
      </c>
    </row>
    <row r="295" spans="1:18" hidden="1">
      <c r="A295" s="282">
        <v>2533</v>
      </c>
      <c r="B295" s="194"/>
      <c r="C295" s="282"/>
      <c r="D295" s="282"/>
      <c r="E295" s="282"/>
      <c r="F295" s="283"/>
      <c r="G295" s="282">
        <v>5</v>
      </c>
      <c r="H295" s="282">
        <v>6</v>
      </c>
      <c r="I295" s="282">
        <v>850</v>
      </c>
      <c r="J295" s="282" t="s">
        <v>390</v>
      </c>
      <c r="K295" s="282" t="s">
        <v>427</v>
      </c>
      <c r="L295" s="283">
        <v>44805</v>
      </c>
      <c r="M295" s="281"/>
      <c r="N295" s="287" t="s">
        <v>142</v>
      </c>
      <c r="O295" s="466">
        <v>0</v>
      </c>
      <c r="P295" s="285">
        <v>45901</v>
      </c>
      <c r="Q295" s="285">
        <v>46022</v>
      </c>
      <c r="R295" s="288">
        <v>1</v>
      </c>
    </row>
    <row r="296" spans="1:18" hidden="1">
      <c r="A296" s="282">
        <v>2533</v>
      </c>
      <c r="B296" s="194"/>
      <c r="C296" s="282"/>
      <c r="D296" s="282"/>
      <c r="E296" s="282"/>
      <c r="F296" s="283"/>
      <c r="G296" s="282">
        <v>4</v>
      </c>
      <c r="H296" s="282">
        <v>5</v>
      </c>
      <c r="I296" s="282">
        <v>850</v>
      </c>
      <c r="J296" s="282" t="s">
        <v>390</v>
      </c>
      <c r="K296" s="282" t="s">
        <v>427</v>
      </c>
      <c r="L296" s="283">
        <v>45536</v>
      </c>
      <c r="M296" s="281"/>
      <c r="N296" s="287" t="s">
        <v>142</v>
      </c>
      <c r="O296" s="466">
        <v>0</v>
      </c>
      <c r="P296" s="285">
        <v>45901</v>
      </c>
      <c r="Q296" s="285">
        <v>46022</v>
      </c>
      <c r="R296" s="288">
        <v>1</v>
      </c>
    </row>
    <row r="297" spans="1:18" hidden="1">
      <c r="A297" s="193">
        <v>2533</v>
      </c>
      <c r="B297" s="194"/>
      <c r="C297" s="193"/>
      <c r="D297" s="193"/>
      <c r="E297" s="193"/>
      <c r="F297" s="283"/>
      <c r="G297" s="479">
        <v>5</v>
      </c>
      <c r="H297" s="282">
        <v>6</v>
      </c>
      <c r="I297" s="193">
        <v>850</v>
      </c>
      <c r="J297" s="193" t="s">
        <v>390</v>
      </c>
      <c r="K297" s="193" t="s">
        <v>427</v>
      </c>
      <c r="L297" s="283">
        <v>44805</v>
      </c>
      <c r="M297" s="281"/>
      <c r="N297" s="195" t="s">
        <v>142</v>
      </c>
      <c r="O297" s="466">
        <v>0</v>
      </c>
      <c r="P297" s="285">
        <v>45901</v>
      </c>
      <c r="Q297" s="285">
        <v>46022</v>
      </c>
      <c r="R297" s="288">
        <v>1</v>
      </c>
    </row>
    <row r="298" spans="1:18" hidden="1">
      <c r="A298" s="193">
        <v>2533</v>
      </c>
      <c r="B298" s="194"/>
      <c r="C298" s="193"/>
      <c r="D298" s="193"/>
      <c r="E298" s="193"/>
      <c r="F298" s="283"/>
      <c r="G298" s="479">
        <v>4</v>
      </c>
      <c r="H298" s="282">
        <v>5</v>
      </c>
      <c r="I298" s="193">
        <v>850</v>
      </c>
      <c r="J298" s="193" t="s">
        <v>390</v>
      </c>
      <c r="K298" s="193" t="s">
        <v>427</v>
      </c>
      <c r="L298" s="283">
        <v>45170</v>
      </c>
      <c r="M298" s="281"/>
      <c r="N298" s="195" t="s">
        <v>142</v>
      </c>
      <c r="O298" s="466">
        <v>0</v>
      </c>
      <c r="P298" s="285">
        <v>45901</v>
      </c>
      <c r="Q298" s="285">
        <v>46022</v>
      </c>
      <c r="R298" s="288">
        <v>1</v>
      </c>
    </row>
    <row r="299" spans="1:18" hidden="1">
      <c r="A299" s="193">
        <v>2533</v>
      </c>
      <c r="B299" s="194"/>
      <c r="C299" s="470"/>
      <c r="D299" s="470"/>
      <c r="E299" s="470"/>
      <c r="F299" s="286"/>
      <c r="G299" s="193">
        <v>6</v>
      </c>
      <c r="H299" s="282">
        <v>7</v>
      </c>
      <c r="I299" s="193">
        <v>850</v>
      </c>
      <c r="J299" s="193" t="s">
        <v>390</v>
      </c>
      <c r="K299" s="193" t="s">
        <v>427</v>
      </c>
      <c r="L299" s="283">
        <v>44440</v>
      </c>
      <c r="M299" s="281">
        <v>45900</v>
      </c>
      <c r="N299" s="195" t="s">
        <v>142</v>
      </c>
      <c r="O299" s="466">
        <v>0</v>
      </c>
      <c r="P299" s="285" t="s">
        <v>399</v>
      </c>
      <c r="Q299" s="285" t="s">
        <v>399</v>
      </c>
      <c r="R299" s="288">
        <v>0</v>
      </c>
    </row>
    <row r="300" spans="1:18" hidden="1">
      <c r="A300" s="193">
        <v>2533</v>
      </c>
      <c r="B300" s="194"/>
      <c r="C300" s="193"/>
      <c r="D300" s="193"/>
      <c r="E300" s="193"/>
      <c r="F300" s="283"/>
      <c r="G300" s="193">
        <v>4</v>
      </c>
      <c r="H300" s="282">
        <v>5</v>
      </c>
      <c r="I300" s="193">
        <v>850</v>
      </c>
      <c r="J300" s="193" t="s">
        <v>390</v>
      </c>
      <c r="K300" s="193" t="s">
        <v>427</v>
      </c>
      <c r="L300" s="283">
        <v>45536</v>
      </c>
      <c r="M300" s="281"/>
      <c r="N300" s="195" t="s">
        <v>141</v>
      </c>
      <c r="O300" s="466">
        <v>0</v>
      </c>
      <c r="P300" s="285">
        <v>45901</v>
      </c>
      <c r="Q300" s="285">
        <v>46022</v>
      </c>
      <c r="R300" s="288">
        <v>1</v>
      </c>
    </row>
    <row r="301" spans="1:18" hidden="1">
      <c r="A301" s="282">
        <v>2533</v>
      </c>
      <c r="B301" s="194"/>
      <c r="C301" s="282"/>
      <c r="D301" s="282"/>
      <c r="E301" s="282"/>
      <c r="F301" s="283"/>
      <c r="G301" s="282">
        <v>6</v>
      </c>
      <c r="H301" s="282">
        <v>7</v>
      </c>
      <c r="I301" s="282">
        <v>850</v>
      </c>
      <c r="J301" s="282" t="s">
        <v>390</v>
      </c>
      <c r="K301" s="282" t="s">
        <v>427</v>
      </c>
      <c r="L301" s="283">
        <v>44440</v>
      </c>
      <c r="M301" s="281">
        <v>45900</v>
      </c>
      <c r="N301" s="287" t="s">
        <v>142</v>
      </c>
      <c r="O301" s="466">
        <v>0</v>
      </c>
      <c r="P301" s="285" t="s">
        <v>399</v>
      </c>
      <c r="Q301" s="285" t="s">
        <v>399</v>
      </c>
      <c r="R301" s="288">
        <v>0</v>
      </c>
    </row>
    <row r="302" spans="1:18" hidden="1">
      <c r="A302" s="282">
        <v>2533</v>
      </c>
      <c r="B302" s="194"/>
      <c r="C302" s="282"/>
      <c r="D302" s="282"/>
      <c r="E302" s="282"/>
      <c r="F302" s="283"/>
      <c r="G302" s="282">
        <v>4</v>
      </c>
      <c r="H302" s="282">
        <v>5</v>
      </c>
      <c r="I302" s="282">
        <v>850</v>
      </c>
      <c r="J302" s="282" t="s">
        <v>390</v>
      </c>
      <c r="K302" s="282" t="s">
        <v>427</v>
      </c>
      <c r="L302" s="283">
        <v>45536</v>
      </c>
      <c r="M302" s="281"/>
      <c r="N302" s="287" t="s">
        <v>141</v>
      </c>
      <c r="O302" s="466">
        <v>0</v>
      </c>
      <c r="P302" s="285">
        <v>45901</v>
      </c>
      <c r="Q302" s="285">
        <v>46022</v>
      </c>
      <c r="R302" s="288">
        <v>1</v>
      </c>
    </row>
    <row r="303" spans="1:18" hidden="1">
      <c r="A303" s="282">
        <v>2533</v>
      </c>
      <c r="B303" s="194"/>
      <c r="C303" s="282"/>
      <c r="D303" s="282"/>
      <c r="E303" s="282"/>
      <c r="F303" s="283"/>
      <c r="G303" s="282">
        <v>4</v>
      </c>
      <c r="H303" s="282">
        <v>5</v>
      </c>
      <c r="I303" s="282">
        <v>850</v>
      </c>
      <c r="J303" s="282" t="s">
        <v>390</v>
      </c>
      <c r="K303" s="282" t="s">
        <v>427</v>
      </c>
      <c r="L303" s="283">
        <v>45170</v>
      </c>
      <c r="M303" s="281"/>
      <c r="N303" s="287" t="s">
        <v>142</v>
      </c>
      <c r="O303" s="466">
        <v>0</v>
      </c>
      <c r="P303" s="285">
        <v>45901</v>
      </c>
      <c r="Q303" s="285">
        <v>46022</v>
      </c>
      <c r="R303" s="288">
        <v>1</v>
      </c>
    </row>
    <row r="304" spans="1:18" hidden="1">
      <c r="A304" s="282">
        <v>2533</v>
      </c>
      <c r="B304" s="194"/>
      <c r="C304" s="282"/>
      <c r="D304" s="282"/>
      <c r="E304" s="282"/>
      <c r="F304" s="283"/>
      <c r="G304" s="282">
        <v>2</v>
      </c>
      <c r="H304" s="282">
        <v>3</v>
      </c>
      <c r="I304" s="282">
        <v>850</v>
      </c>
      <c r="J304" s="282" t="s">
        <v>390</v>
      </c>
      <c r="K304" s="282" t="s">
        <v>427</v>
      </c>
      <c r="L304" s="283">
        <v>45776</v>
      </c>
      <c r="M304" s="281"/>
      <c r="N304" s="287" t="s">
        <v>141</v>
      </c>
      <c r="O304" s="466">
        <v>0</v>
      </c>
      <c r="P304" s="285">
        <v>45901</v>
      </c>
      <c r="Q304" s="285">
        <v>46022</v>
      </c>
      <c r="R304" s="288">
        <v>1</v>
      </c>
    </row>
    <row r="305" spans="1:18" hidden="1">
      <c r="A305" s="282">
        <v>2533</v>
      </c>
      <c r="B305" s="194"/>
      <c r="C305" s="282"/>
      <c r="D305" s="282"/>
      <c r="E305" s="282"/>
      <c r="F305" s="283"/>
      <c r="G305" s="282">
        <v>6</v>
      </c>
      <c r="H305" s="282">
        <v>7</v>
      </c>
      <c r="I305" s="282">
        <v>850</v>
      </c>
      <c r="J305" s="282" t="s">
        <v>390</v>
      </c>
      <c r="K305" s="282" t="s">
        <v>427</v>
      </c>
      <c r="L305" s="283">
        <v>45536</v>
      </c>
      <c r="M305" s="281">
        <v>45900</v>
      </c>
      <c r="N305" s="287" t="s">
        <v>142</v>
      </c>
      <c r="O305" s="466">
        <v>0</v>
      </c>
      <c r="P305" s="285" t="s">
        <v>399</v>
      </c>
      <c r="Q305" s="285" t="s">
        <v>399</v>
      </c>
      <c r="R305" s="288">
        <v>0</v>
      </c>
    </row>
    <row r="306" spans="1:18" hidden="1">
      <c r="A306" s="193">
        <v>2533</v>
      </c>
      <c r="B306" s="194"/>
      <c r="C306" s="193"/>
      <c r="D306" s="193"/>
      <c r="E306" s="193"/>
      <c r="F306" s="283"/>
      <c r="G306" s="193">
        <v>6</v>
      </c>
      <c r="H306" s="282">
        <v>7</v>
      </c>
      <c r="I306" s="193">
        <v>850</v>
      </c>
      <c r="J306" s="193" t="s">
        <v>390</v>
      </c>
      <c r="K306" s="193" t="s">
        <v>427</v>
      </c>
      <c r="L306" s="283">
        <v>44440</v>
      </c>
      <c r="M306" s="281">
        <v>45900</v>
      </c>
      <c r="N306" s="195" t="s">
        <v>142</v>
      </c>
      <c r="O306" s="466">
        <v>0</v>
      </c>
      <c r="P306" s="285" t="s">
        <v>399</v>
      </c>
      <c r="Q306" s="285" t="s">
        <v>399</v>
      </c>
      <c r="R306" s="288">
        <v>0</v>
      </c>
    </row>
    <row r="307" spans="1:18" hidden="1">
      <c r="A307" s="193">
        <v>2533</v>
      </c>
      <c r="B307" s="194"/>
      <c r="C307" s="479"/>
      <c r="D307" s="479"/>
      <c r="E307" s="479"/>
      <c r="F307" s="480"/>
      <c r="G307" s="479">
        <v>3</v>
      </c>
      <c r="H307" s="282">
        <v>4</v>
      </c>
      <c r="I307" s="193">
        <v>850</v>
      </c>
      <c r="J307" s="193" t="s">
        <v>390</v>
      </c>
      <c r="K307" s="193" t="s">
        <v>427</v>
      </c>
      <c r="L307" s="283">
        <v>45536</v>
      </c>
      <c r="M307" s="281"/>
      <c r="N307" s="195" t="s">
        <v>142</v>
      </c>
      <c r="O307" s="466">
        <v>0</v>
      </c>
      <c r="P307" s="285">
        <v>45901</v>
      </c>
      <c r="Q307" s="285">
        <v>46022</v>
      </c>
      <c r="R307" s="288">
        <v>1</v>
      </c>
    </row>
    <row r="308" spans="1:18" hidden="1">
      <c r="A308" s="193">
        <v>2533</v>
      </c>
      <c r="B308" s="194"/>
      <c r="C308" s="479"/>
      <c r="D308" s="479"/>
      <c r="E308" s="479"/>
      <c r="F308" s="480"/>
      <c r="G308" s="479">
        <v>6</v>
      </c>
      <c r="H308" s="282">
        <v>7</v>
      </c>
      <c r="I308" s="193">
        <v>850</v>
      </c>
      <c r="J308" s="193" t="s">
        <v>390</v>
      </c>
      <c r="K308" s="193" t="s">
        <v>427</v>
      </c>
      <c r="L308" s="283">
        <v>44440</v>
      </c>
      <c r="M308" s="281">
        <v>45900</v>
      </c>
      <c r="N308" s="195" t="s">
        <v>142</v>
      </c>
      <c r="O308" s="466">
        <v>0</v>
      </c>
      <c r="P308" s="285" t="s">
        <v>399</v>
      </c>
      <c r="Q308" s="285" t="s">
        <v>399</v>
      </c>
      <c r="R308" s="288">
        <v>0</v>
      </c>
    </row>
    <row r="309" spans="1:18" hidden="1">
      <c r="A309" s="193">
        <v>2533</v>
      </c>
      <c r="B309" s="194"/>
      <c r="C309" s="479"/>
      <c r="D309" s="479"/>
      <c r="E309" s="479"/>
      <c r="F309" s="480"/>
      <c r="G309" s="479">
        <v>3</v>
      </c>
      <c r="H309" s="282">
        <v>4</v>
      </c>
      <c r="I309" s="193">
        <v>850</v>
      </c>
      <c r="J309" s="193" t="s">
        <v>390</v>
      </c>
      <c r="K309" s="193" t="s">
        <v>427</v>
      </c>
      <c r="L309" s="283">
        <v>45536</v>
      </c>
      <c r="M309" s="281"/>
      <c r="N309" s="195" t="s">
        <v>141</v>
      </c>
      <c r="O309" s="466">
        <v>0</v>
      </c>
      <c r="P309" s="285">
        <v>45901</v>
      </c>
      <c r="Q309" s="285">
        <v>46022</v>
      </c>
      <c r="R309" s="288">
        <v>1</v>
      </c>
    </row>
    <row r="310" spans="1:18" hidden="1">
      <c r="A310" s="193">
        <v>2534</v>
      </c>
      <c r="B310" s="194"/>
      <c r="C310" s="479"/>
      <c r="D310" s="479"/>
      <c r="E310" s="479"/>
      <c r="F310" s="480"/>
      <c r="G310" s="479">
        <v>1</v>
      </c>
      <c r="H310" s="282">
        <v>2</v>
      </c>
      <c r="I310" s="193">
        <v>850</v>
      </c>
      <c r="J310" s="193" t="s">
        <v>390</v>
      </c>
      <c r="K310" s="193" t="s">
        <v>428</v>
      </c>
      <c r="L310" s="283">
        <v>45536</v>
      </c>
      <c r="M310" s="281"/>
      <c r="N310" s="195" t="s">
        <v>141</v>
      </c>
      <c r="O310" s="466">
        <v>0</v>
      </c>
      <c r="P310" s="285">
        <v>45901</v>
      </c>
      <c r="Q310" s="285">
        <v>46022</v>
      </c>
      <c r="R310" s="288">
        <v>1</v>
      </c>
    </row>
    <row r="311" spans="1:18" hidden="1">
      <c r="A311" s="193">
        <v>2534</v>
      </c>
      <c r="B311" s="194"/>
      <c r="C311" s="479"/>
      <c r="D311" s="479"/>
      <c r="E311" s="479"/>
      <c r="F311" s="480"/>
      <c r="G311" s="479">
        <v>1</v>
      </c>
      <c r="H311" s="282">
        <v>2</v>
      </c>
      <c r="I311" s="193">
        <v>850</v>
      </c>
      <c r="J311" s="193" t="s">
        <v>390</v>
      </c>
      <c r="K311" s="193" t="s">
        <v>429</v>
      </c>
      <c r="L311" s="283">
        <v>45170</v>
      </c>
      <c r="M311" s="281">
        <v>45900</v>
      </c>
      <c r="N311" s="195" t="s">
        <v>141</v>
      </c>
      <c r="O311" s="466">
        <v>0</v>
      </c>
      <c r="P311" s="285" t="s">
        <v>399</v>
      </c>
      <c r="Q311" s="285" t="s">
        <v>399</v>
      </c>
      <c r="R311" s="288">
        <v>0</v>
      </c>
    </row>
    <row r="312" spans="1:18" hidden="1">
      <c r="A312" s="193">
        <v>2534</v>
      </c>
      <c r="B312" s="194"/>
      <c r="C312" s="193"/>
      <c r="D312" s="193"/>
      <c r="E312" s="193"/>
      <c r="F312" s="283"/>
      <c r="G312" s="193">
        <v>1</v>
      </c>
      <c r="H312" s="282">
        <v>2</v>
      </c>
      <c r="I312" s="193">
        <v>850</v>
      </c>
      <c r="J312" s="193" t="s">
        <v>390</v>
      </c>
      <c r="K312" s="193" t="s">
        <v>428</v>
      </c>
      <c r="L312" s="283">
        <v>45170</v>
      </c>
      <c r="M312" s="281"/>
      <c r="N312" s="195" t="s">
        <v>142</v>
      </c>
      <c r="O312" s="466">
        <v>0</v>
      </c>
      <c r="P312" s="285">
        <v>45901</v>
      </c>
      <c r="Q312" s="285">
        <v>46022</v>
      </c>
      <c r="R312" s="288">
        <v>1</v>
      </c>
    </row>
    <row r="313" spans="1:18" hidden="1">
      <c r="A313" s="193">
        <v>2534</v>
      </c>
      <c r="B313" s="194"/>
      <c r="C313" s="193"/>
      <c r="D313" s="193"/>
      <c r="E313" s="193"/>
      <c r="F313" s="283"/>
      <c r="G313" s="193">
        <v>0</v>
      </c>
      <c r="H313" s="282">
        <v>1</v>
      </c>
      <c r="I313" s="193">
        <v>850</v>
      </c>
      <c r="J313" s="193" t="s">
        <v>390</v>
      </c>
      <c r="K313" s="193" t="s">
        <v>428</v>
      </c>
      <c r="L313" s="283">
        <v>45536</v>
      </c>
      <c r="M313" s="281"/>
      <c r="N313" s="195" t="s">
        <v>142</v>
      </c>
      <c r="O313" s="466">
        <v>0</v>
      </c>
      <c r="P313" s="285">
        <v>45901</v>
      </c>
      <c r="Q313" s="285">
        <v>46022</v>
      </c>
      <c r="R313" s="288">
        <v>1</v>
      </c>
    </row>
    <row r="314" spans="1:18" hidden="1">
      <c r="A314" s="193">
        <v>2534</v>
      </c>
      <c r="B314" s="194"/>
      <c r="C314" s="193"/>
      <c r="D314" s="193"/>
      <c r="E314" s="193"/>
      <c r="F314" s="283"/>
      <c r="G314" s="193">
        <v>1</v>
      </c>
      <c r="H314" s="282">
        <v>2</v>
      </c>
      <c r="I314" s="193">
        <v>850</v>
      </c>
      <c r="J314" s="193" t="s">
        <v>390</v>
      </c>
      <c r="K314" s="193" t="s">
        <v>429</v>
      </c>
      <c r="L314" s="283">
        <v>45170</v>
      </c>
      <c r="M314" s="281"/>
      <c r="N314" s="195" t="s">
        <v>141</v>
      </c>
      <c r="O314" s="466">
        <v>0</v>
      </c>
      <c r="P314" s="285">
        <v>45901</v>
      </c>
      <c r="Q314" s="285">
        <v>46022</v>
      </c>
      <c r="R314" s="288">
        <v>1</v>
      </c>
    </row>
    <row r="315" spans="1:18" hidden="1">
      <c r="A315" s="193">
        <v>2534</v>
      </c>
      <c r="B315" s="194"/>
      <c r="C315" s="193"/>
      <c r="D315" s="193"/>
      <c r="E315" s="193"/>
      <c r="F315" s="283"/>
      <c r="G315" s="193">
        <v>2</v>
      </c>
      <c r="H315" s="282">
        <v>3</v>
      </c>
      <c r="I315" s="193">
        <v>850</v>
      </c>
      <c r="J315" s="193" t="s">
        <v>390</v>
      </c>
      <c r="K315" s="193" t="s">
        <v>428</v>
      </c>
      <c r="L315" s="283">
        <v>44805</v>
      </c>
      <c r="M315" s="281">
        <v>45900</v>
      </c>
      <c r="N315" s="195" t="s">
        <v>142</v>
      </c>
      <c r="O315" s="466">
        <v>0</v>
      </c>
      <c r="P315" s="285" t="s">
        <v>399</v>
      </c>
      <c r="Q315" s="285" t="s">
        <v>399</v>
      </c>
      <c r="R315" s="288">
        <v>0</v>
      </c>
    </row>
    <row r="316" spans="1:18" hidden="1">
      <c r="A316" s="193">
        <v>2534</v>
      </c>
      <c r="B316" s="194"/>
      <c r="C316" s="193"/>
      <c r="D316" s="193"/>
      <c r="E316" s="193"/>
      <c r="F316" s="283"/>
      <c r="G316" s="193">
        <v>1</v>
      </c>
      <c r="H316" s="282">
        <v>2</v>
      </c>
      <c r="I316" s="193">
        <v>850</v>
      </c>
      <c r="J316" s="193" t="s">
        <v>390</v>
      </c>
      <c r="K316" s="193" t="s">
        <v>428</v>
      </c>
      <c r="L316" s="283">
        <v>45201</v>
      </c>
      <c r="M316" s="281"/>
      <c r="N316" s="195" t="s">
        <v>142</v>
      </c>
      <c r="O316" s="466">
        <v>0</v>
      </c>
      <c r="P316" s="285">
        <v>45901</v>
      </c>
      <c r="Q316" s="285">
        <v>46022</v>
      </c>
      <c r="R316" s="288">
        <v>1</v>
      </c>
    </row>
    <row r="317" spans="1:18" hidden="1">
      <c r="A317" s="193">
        <v>2534</v>
      </c>
      <c r="B317" s="194"/>
      <c r="C317" s="193"/>
      <c r="D317" s="193"/>
      <c r="E317" s="193"/>
      <c r="F317" s="283"/>
      <c r="G317" s="193">
        <v>1</v>
      </c>
      <c r="H317" s="282">
        <v>2</v>
      </c>
      <c r="I317" s="193">
        <v>850</v>
      </c>
      <c r="J317" s="193" t="s">
        <v>390</v>
      </c>
      <c r="K317" s="193" t="s">
        <v>428</v>
      </c>
      <c r="L317" s="283">
        <v>45536</v>
      </c>
      <c r="M317" s="281"/>
      <c r="N317" s="195" t="s">
        <v>141</v>
      </c>
      <c r="O317" s="466">
        <v>0</v>
      </c>
      <c r="P317" s="285">
        <v>45901</v>
      </c>
      <c r="Q317" s="285">
        <v>46022</v>
      </c>
      <c r="R317" s="288">
        <v>1</v>
      </c>
    </row>
    <row r="318" spans="1:18" hidden="1">
      <c r="A318" s="193">
        <v>2534</v>
      </c>
      <c r="B318" s="194"/>
      <c r="C318" s="193"/>
      <c r="D318" s="193"/>
      <c r="E318" s="193"/>
      <c r="F318" s="283"/>
      <c r="G318" s="193">
        <v>1</v>
      </c>
      <c r="H318" s="282">
        <v>2</v>
      </c>
      <c r="I318" s="193">
        <v>850</v>
      </c>
      <c r="J318" s="193" t="s">
        <v>390</v>
      </c>
      <c r="K318" s="193" t="s">
        <v>428</v>
      </c>
      <c r="L318" s="283">
        <v>45170</v>
      </c>
      <c r="M318" s="281"/>
      <c r="N318" s="195" t="s">
        <v>142</v>
      </c>
      <c r="O318" s="466">
        <v>0</v>
      </c>
      <c r="P318" s="285">
        <v>45901</v>
      </c>
      <c r="Q318" s="285">
        <v>46022</v>
      </c>
      <c r="R318" s="288">
        <v>1</v>
      </c>
    </row>
    <row r="319" spans="1:18" hidden="1">
      <c r="A319" s="193">
        <v>2534</v>
      </c>
      <c r="B319" s="194"/>
      <c r="C319" s="193"/>
      <c r="D319" s="193"/>
      <c r="E319" s="193"/>
      <c r="F319" s="283"/>
      <c r="G319" s="193">
        <v>2</v>
      </c>
      <c r="H319" s="282">
        <v>3</v>
      </c>
      <c r="I319" s="193">
        <v>850</v>
      </c>
      <c r="J319" s="193" t="s">
        <v>390</v>
      </c>
      <c r="K319" s="193" t="s">
        <v>429</v>
      </c>
      <c r="L319" s="283">
        <v>44865</v>
      </c>
      <c r="M319" s="281">
        <v>45900</v>
      </c>
      <c r="N319" s="195" t="s">
        <v>141</v>
      </c>
      <c r="O319" s="466">
        <v>0</v>
      </c>
      <c r="P319" s="285" t="s">
        <v>399</v>
      </c>
      <c r="Q319" s="285" t="s">
        <v>399</v>
      </c>
      <c r="R319" s="288">
        <v>0</v>
      </c>
    </row>
    <row r="320" spans="1:18" hidden="1">
      <c r="A320" s="193">
        <v>2534</v>
      </c>
      <c r="B320" s="194"/>
      <c r="C320" s="193"/>
      <c r="D320" s="193"/>
      <c r="E320" s="193"/>
      <c r="F320" s="283"/>
      <c r="G320" s="193">
        <v>2</v>
      </c>
      <c r="H320" s="282">
        <v>3</v>
      </c>
      <c r="I320" s="193">
        <v>850</v>
      </c>
      <c r="J320" s="193" t="s">
        <v>390</v>
      </c>
      <c r="K320" s="193" t="s">
        <v>428</v>
      </c>
      <c r="L320" s="283">
        <v>44805</v>
      </c>
      <c r="M320" s="281">
        <v>45900</v>
      </c>
      <c r="N320" s="195" t="s">
        <v>142</v>
      </c>
      <c r="O320" s="466">
        <v>0</v>
      </c>
      <c r="P320" s="285" t="s">
        <v>399</v>
      </c>
      <c r="Q320" s="285" t="s">
        <v>399</v>
      </c>
      <c r="R320" s="288">
        <v>0</v>
      </c>
    </row>
    <row r="321" spans="1:18" hidden="1">
      <c r="A321" s="193">
        <v>2534</v>
      </c>
      <c r="B321" s="194"/>
      <c r="C321" s="193"/>
      <c r="D321" s="193"/>
      <c r="E321" s="193"/>
      <c r="F321" s="283"/>
      <c r="G321" s="193">
        <v>2</v>
      </c>
      <c r="H321" s="282">
        <v>3</v>
      </c>
      <c r="I321" s="193">
        <v>850</v>
      </c>
      <c r="J321" s="193" t="s">
        <v>390</v>
      </c>
      <c r="K321" s="193" t="s">
        <v>429</v>
      </c>
      <c r="L321" s="283">
        <v>45170</v>
      </c>
      <c r="M321" s="281">
        <v>45900</v>
      </c>
      <c r="N321" s="195" t="s">
        <v>141</v>
      </c>
      <c r="O321" s="466">
        <v>0</v>
      </c>
      <c r="P321" s="285" t="s">
        <v>399</v>
      </c>
      <c r="Q321" s="285" t="s">
        <v>399</v>
      </c>
      <c r="R321" s="288">
        <v>0</v>
      </c>
    </row>
    <row r="322" spans="1:18" hidden="1">
      <c r="A322" s="193">
        <v>2534</v>
      </c>
      <c r="B322" s="194"/>
      <c r="C322" s="193"/>
      <c r="D322" s="193"/>
      <c r="E322" s="193"/>
      <c r="F322" s="283"/>
      <c r="G322" s="193">
        <v>1</v>
      </c>
      <c r="H322" s="282">
        <v>2</v>
      </c>
      <c r="I322" s="193">
        <v>850</v>
      </c>
      <c r="J322" s="193" t="s">
        <v>390</v>
      </c>
      <c r="K322" s="193" t="s">
        <v>428</v>
      </c>
      <c r="L322" s="283">
        <v>45299</v>
      </c>
      <c r="M322" s="281"/>
      <c r="N322" s="195" t="s">
        <v>142</v>
      </c>
      <c r="O322" s="466">
        <v>0</v>
      </c>
      <c r="P322" s="285">
        <v>45901</v>
      </c>
      <c r="Q322" s="285">
        <v>46022</v>
      </c>
      <c r="R322" s="288">
        <v>1</v>
      </c>
    </row>
    <row r="323" spans="1:18" hidden="1">
      <c r="A323" s="282">
        <v>2534</v>
      </c>
      <c r="B323" s="194"/>
      <c r="C323" s="479"/>
      <c r="D323" s="479"/>
      <c r="E323" s="479"/>
      <c r="F323" s="480"/>
      <c r="G323" s="282">
        <v>1</v>
      </c>
      <c r="H323" s="282">
        <v>2</v>
      </c>
      <c r="I323" s="282">
        <v>850</v>
      </c>
      <c r="J323" s="282" t="s">
        <v>390</v>
      </c>
      <c r="K323" s="282" t="s">
        <v>428</v>
      </c>
      <c r="L323" s="283">
        <v>45536</v>
      </c>
      <c r="M323" s="281"/>
      <c r="N323" s="287" t="s">
        <v>142</v>
      </c>
      <c r="O323" s="466">
        <v>0</v>
      </c>
      <c r="P323" s="285">
        <v>45901</v>
      </c>
      <c r="Q323" s="285">
        <v>46022</v>
      </c>
      <c r="R323" s="288">
        <v>1</v>
      </c>
    </row>
    <row r="324" spans="1:18" hidden="1">
      <c r="A324" s="282">
        <v>2534</v>
      </c>
      <c r="B324" s="194"/>
      <c r="C324" s="479"/>
      <c r="D324" s="479"/>
      <c r="E324" s="479"/>
      <c r="F324" s="480"/>
      <c r="G324" s="282">
        <v>1</v>
      </c>
      <c r="H324" s="282">
        <v>2</v>
      </c>
      <c r="I324" s="282">
        <v>850</v>
      </c>
      <c r="J324" s="282" t="s">
        <v>390</v>
      </c>
      <c r="K324" s="282" t="s">
        <v>428</v>
      </c>
      <c r="L324" s="283">
        <v>45170</v>
      </c>
      <c r="M324" s="281"/>
      <c r="N324" s="287" t="s">
        <v>142</v>
      </c>
      <c r="O324" s="466">
        <v>0</v>
      </c>
      <c r="P324" s="285">
        <v>45901</v>
      </c>
      <c r="Q324" s="285">
        <v>46022</v>
      </c>
      <c r="R324" s="288">
        <v>1</v>
      </c>
    </row>
    <row r="325" spans="1:18" hidden="1">
      <c r="A325" s="282">
        <v>2534</v>
      </c>
      <c r="B325" s="194"/>
      <c r="C325" s="193"/>
      <c r="D325" s="193"/>
      <c r="E325" s="193"/>
      <c r="F325" s="283"/>
      <c r="G325" s="193">
        <v>1</v>
      </c>
      <c r="H325" s="282">
        <v>2</v>
      </c>
      <c r="I325" s="193">
        <v>850</v>
      </c>
      <c r="J325" s="193" t="s">
        <v>390</v>
      </c>
      <c r="K325" s="282" t="s">
        <v>429</v>
      </c>
      <c r="L325" s="283">
        <v>45170</v>
      </c>
      <c r="M325" s="281"/>
      <c r="N325" s="195" t="s">
        <v>141</v>
      </c>
      <c r="O325" s="466">
        <v>0</v>
      </c>
      <c r="P325" s="285">
        <v>45901</v>
      </c>
      <c r="Q325" s="285">
        <v>46022</v>
      </c>
      <c r="R325" s="288">
        <v>1</v>
      </c>
    </row>
    <row r="326" spans="1:18" hidden="1">
      <c r="A326" s="282">
        <v>2534</v>
      </c>
      <c r="B326" s="194"/>
      <c r="C326" s="193"/>
      <c r="D326" s="193"/>
      <c r="E326" s="193"/>
      <c r="F326" s="283"/>
      <c r="G326" s="282">
        <v>1</v>
      </c>
      <c r="H326" s="282">
        <v>2</v>
      </c>
      <c r="I326" s="193">
        <v>850</v>
      </c>
      <c r="J326" s="193" t="s">
        <v>390</v>
      </c>
      <c r="K326" s="282" t="s">
        <v>428</v>
      </c>
      <c r="L326" s="283">
        <v>45536</v>
      </c>
      <c r="M326" s="281"/>
      <c r="N326" s="195" t="s">
        <v>141</v>
      </c>
      <c r="O326" s="466">
        <v>0</v>
      </c>
      <c r="P326" s="285">
        <v>45901</v>
      </c>
      <c r="Q326" s="285">
        <v>46022</v>
      </c>
      <c r="R326" s="288">
        <v>1</v>
      </c>
    </row>
    <row r="327" spans="1:18" hidden="1">
      <c r="A327" s="282">
        <v>2534</v>
      </c>
      <c r="B327" s="194"/>
      <c r="C327" s="479"/>
      <c r="D327" s="479"/>
      <c r="E327" s="479"/>
      <c r="F327" s="480"/>
      <c r="G327" s="282">
        <v>1</v>
      </c>
      <c r="H327" s="282">
        <v>2</v>
      </c>
      <c r="I327" s="282">
        <v>850</v>
      </c>
      <c r="J327" s="282" t="s">
        <v>390</v>
      </c>
      <c r="K327" s="282" t="s">
        <v>428</v>
      </c>
      <c r="L327" s="283">
        <v>45170</v>
      </c>
      <c r="M327" s="281"/>
      <c r="N327" s="287" t="s">
        <v>142</v>
      </c>
      <c r="O327" s="466">
        <v>0</v>
      </c>
      <c r="P327" s="285">
        <v>45901</v>
      </c>
      <c r="Q327" s="285">
        <v>46022</v>
      </c>
      <c r="R327" s="288">
        <v>1</v>
      </c>
    </row>
    <row r="328" spans="1:18" hidden="1">
      <c r="A328" s="282">
        <v>2534</v>
      </c>
      <c r="B328" s="194"/>
      <c r="C328" s="479"/>
      <c r="D328" s="483"/>
      <c r="E328" s="479"/>
      <c r="F328" s="480"/>
      <c r="G328" s="282">
        <v>2</v>
      </c>
      <c r="H328" s="282">
        <v>3</v>
      </c>
      <c r="I328" s="282">
        <v>850</v>
      </c>
      <c r="J328" s="282" t="s">
        <v>390</v>
      </c>
      <c r="K328" s="282" t="s">
        <v>428</v>
      </c>
      <c r="L328" s="283">
        <v>44805</v>
      </c>
      <c r="M328" s="281">
        <v>45900</v>
      </c>
      <c r="N328" s="287" t="s">
        <v>142</v>
      </c>
      <c r="O328" s="466">
        <v>0</v>
      </c>
      <c r="P328" s="285" t="s">
        <v>399</v>
      </c>
      <c r="Q328" s="285" t="s">
        <v>399</v>
      </c>
      <c r="R328" s="288">
        <v>0</v>
      </c>
    </row>
    <row r="329" spans="1:18" hidden="1">
      <c r="A329" s="282">
        <v>2732</v>
      </c>
      <c r="B329" s="194"/>
      <c r="C329" s="479"/>
      <c r="D329" s="483"/>
      <c r="E329" s="479"/>
      <c r="F329" s="480"/>
      <c r="G329" s="282">
        <v>4</v>
      </c>
      <c r="H329" s="282">
        <v>5</v>
      </c>
      <c r="I329" s="282">
        <v>850</v>
      </c>
      <c r="J329" s="282" t="s">
        <v>390</v>
      </c>
      <c r="K329" s="282" t="s">
        <v>430</v>
      </c>
      <c r="L329" s="283">
        <v>43388</v>
      </c>
      <c r="M329" s="281"/>
      <c r="N329" s="287" t="s">
        <v>215</v>
      </c>
      <c r="O329" s="466" t="s">
        <v>215</v>
      </c>
      <c r="P329" s="285">
        <v>45901</v>
      </c>
      <c r="Q329" s="285">
        <v>46022</v>
      </c>
      <c r="R329" s="288">
        <v>1</v>
      </c>
    </row>
    <row r="330" spans="1:18" hidden="1">
      <c r="A330" s="282">
        <v>2732</v>
      </c>
      <c r="B330" s="194"/>
      <c r="C330" s="479"/>
      <c r="D330" s="479"/>
      <c r="E330" s="479"/>
      <c r="F330" s="480"/>
      <c r="G330" s="282">
        <v>1</v>
      </c>
      <c r="H330" s="282">
        <v>2</v>
      </c>
      <c r="I330" s="282">
        <v>850</v>
      </c>
      <c r="J330" s="282" t="s">
        <v>390</v>
      </c>
      <c r="K330" s="282" t="s">
        <v>430</v>
      </c>
      <c r="L330" s="283">
        <v>45170</v>
      </c>
      <c r="M330" s="281"/>
      <c r="N330" s="287" t="s">
        <v>215</v>
      </c>
      <c r="O330" s="466">
        <v>0</v>
      </c>
      <c r="P330" s="285">
        <v>45901</v>
      </c>
      <c r="Q330" s="285">
        <v>46022</v>
      </c>
      <c r="R330" s="288">
        <v>1</v>
      </c>
    </row>
    <row r="331" spans="1:18" hidden="1">
      <c r="A331" s="193">
        <v>2732</v>
      </c>
      <c r="B331" s="194"/>
      <c r="C331" s="193"/>
      <c r="D331" s="193"/>
      <c r="E331" s="193"/>
      <c r="F331" s="283"/>
      <c r="G331" s="193">
        <v>4</v>
      </c>
      <c r="H331" s="282">
        <v>5</v>
      </c>
      <c r="I331" s="193">
        <v>850</v>
      </c>
      <c r="J331" s="193" t="s">
        <v>390</v>
      </c>
      <c r="K331" s="282" t="s">
        <v>430</v>
      </c>
      <c r="L331" s="283">
        <v>43711</v>
      </c>
      <c r="M331" s="281"/>
      <c r="N331" s="195" t="s">
        <v>215</v>
      </c>
      <c r="O331" s="466" t="s">
        <v>215</v>
      </c>
      <c r="P331" s="285">
        <v>45901</v>
      </c>
      <c r="Q331" s="285">
        <v>46022</v>
      </c>
      <c r="R331" s="288">
        <v>1</v>
      </c>
    </row>
    <row r="332" spans="1:18" hidden="1">
      <c r="A332" s="193">
        <v>2732</v>
      </c>
      <c r="B332" s="194"/>
      <c r="C332" s="193"/>
      <c r="D332" s="193"/>
      <c r="E332" s="193"/>
      <c r="F332" s="283"/>
      <c r="G332" s="193">
        <v>6</v>
      </c>
      <c r="H332" s="282">
        <v>7</v>
      </c>
      <c r="I332" s="193">
        <v>850</v>
      </c>
      <c r="J332" s="193" t="s">
        <v>390</v>
      </c>
      <c r="K332" s="282" t="s">
        <v>430</v>
      </c>
      <c r="L332" s="283">
        <v>43481</v>
      </c>
      <c r="M332" s="281">
        <v>45900</v>
      </c>
      <c r="N332" s="195" t="s">
        <v>215</v>
      </c>
      <c r="O332" s="466" t="s">
        <v>215</v>
      </c>
      <c r="P332" s="285" t="s">
        <v>399</v>
      </c>
      <c r="Q332" s="285" t="s">
        <v>399</v>
      </c>
      <c r="R332" s="288">
        <v>0</v>
      </c>
    </row>
    <row r="333" spans="1:18" hidden="1">
      <c r="A333" s="282">
        <v>2732</v>
      </c>
      <c r="B333" s="194"/>
      <c r="C333" s="282"/>
      <c r="D333" s="282"/>
      <c r="E333" s="282"/>
      <c r="F333" s="283"/>
      <c r="G333" s="282">
        <v>1</v>
      </c>
      <c r="H333" s="282">
        <v>2</v>
      </c>
      <c r="I333" s="282">
        <v>850</v>
      </c>
      <c r="J333" s="282" t="s">
        <v>390</v>
      </c>
      <c r="K333" s="282" t="s">
        <v>430</v>
      </c>
      <c r="L333" s="283">
        <v>45170</v>
      </c>
      <c r="M333" s="281"/>
      <c r="N333" s="287" t="s">
        <v>215</v>
      </c>
      <c r="O333" s="466">
        <v>0</v>
      </c>
      <c r="P333" s="285">
        <v>45901</v>
      </c>
      <c r="Q333" s="285">
        <v>46022</v>
      </c>
      <c r="R333" s="288">
        <v>1</v>
      </c>
    </row>
    <row r="334" spans="1:18" hidden="1">
      <c r="A334" s="282">
        <v>2732</v>
      </c>
      <c r="B334" s="194"/>
      <c r="C334" s="479"/>
      <c r="D334" s="479"/>
      <c r="E334" s="479"/>
      <c r="F334" s="480"/>
      <c r="G334" s="282">
        <v>2</v>
      </c>
      <c r="H334" s="282">
        <v>3</v>
      </c>
      <c r="I334" s="282">
        <v>850</v>
      </c>
      <c r="J334" s="282" t="s">
        <v>390</v>
      </c>
      <c r="K334" s="282" t="s">
        <v>430</v>
      </c>
      <c r="L334" s="283">
        <v>45170</v>
      </c>
      <c r="M334" s="281"/>
      <c r="N334" s="287" t="s">
        <v>215</v>
      </c>
      <c r="O334" s="466">
        <v>0</v>
      </c>
      <c r="P334" s="285">
        <v>45901</v>
      </c>
      <c r="Q334" s="285">
        <v>46022</v>
      </c>
      <c r="R334" s="288">
        <v>1</v>
      </c>
    </row>
    <row r="335" spans="1:18" hidden="1">
      <c r="A335" s="282">
        <v>2774</v>
      </c>
      <c r="B335" s="194"/>
      <c r="C335" s="479"/>
      <c r="D335" s="479"/>
      <c r="E335" s="479"/>
      <c r="F335" s="480"/>
      <c r="G335" s="282">
        <v>5</v>
      </c>
      <c r="H335" s="282">
        <v>6</v>
      </c>
      <c r="I335" s="282">
        <v>850</v>
      </c>
      <c r="J335" s="282" t="s">
        <v>390</v>
      </c>
      <c r="K335" s="282" t="s">
        <v>431</v>
      </c>
      <c r="L335" s="283">
        <v>44805</v>
      </c>
      <c r="M335" s="281"/>
      <c r="N335" s="287" t="s">
        <v>142</v>
      </c>
      <c r="O335" s="466">
        <v>0</v>
      </c>
      <c r="P335" s="285">
        <v>45901</v>
      </c>
      <c r="Q335" s="285">
        <v>46022</v>
      </c>
      <c r="R335" s="288">
        <v>1</v>
      </c>
    </row>
    <row r="336" spans="1:18" hidden="1">
      <c r="A336" s="282">
        <v>2774</v>
      </c>
      <c r="B336" s="194"/>
      <c r="C336" s="193"/>
      <c r="D336" s="193"/>
      <c r="E336" s="193"/>
      <c r="F336" s="283"/>
      <c r="G336" s="282">
        <v>1</v>
      </c>
      <c r="H336" s="282">
        <v>2</v>
      </c>
      <c r="I336" s="193">
        <v>850</v>
      </c>
      <c r="J336" s="193" t="s">
        <v>390</v>
      </c>
      <c r="K336" s="282" t="s">
        <v>432</v>
      </c>
      <c r="L336" s="283">
        <v>45170</v>
      </c>
      <c r="M336" s="281"/>
      <c r="N336" s="195" t="s">
        <v>141</v>
      </c>
      <c r="O336" s="466">
        <v>0</v>
      </c>
      <c r="P336" s="285">
        <v>45901</v>
      </c>
      <c r="Q336" s="285">
        <v>46022</v>
      </c>
      <c r="R336" s="288">
        <v>1</v>
      </c>
    </row>
    <row r="337" spans="1:18" hidden="1">
      <c r="A337" s="282">
        <v>2774</v>
      </c>
      <c r="B337" s="194"/>
      <c r="C337" s="479"/>
      <c r="D337" s="479"/>
      <c r="E337" s="479"/>
      <c r="F337" s="480"/>
      <c r="G337" s="282">
        <v>4</v>
      </c>
      <c r="H337" s="282">
        <v>5</v>
      </c>
      <c r="I337" s="282">
        <v>850</v>
      </c>
      <c r="J337" s="282" t="s">
        <v>390</v>
      </c>
      <c r="K337" s="282" t="s">
        <v>432</v>
      </c>
      <c r="L337" s="283">
        <v>45170</v>
      </c>
      <c r="M337" s="281"/>
      <c r="N337" s="287" t="s">
        <v>141</v>
      </c>
      <c r="O337" s="466">
        <v>0</v>
      </c>
      <c r="P337" s="285">
        <v>45901</v>
      </c>
      <c r="Q337" s="285">
        <v>46022</v>
      </c>
      <c r="R337" s="288">
        <v>1</v>
      </c>
    </row>
    <row r="338" spans="1:18" hidden="1">
      <c r="A338" s="282">
        <v>2774</v>
      </c>
      <c r="B338" s="194"/>
      <c r="C338" s="193"/>
      <c r="D338" s="193"/>
      <c r="E338" s="193"/>
      <c r="F338" s="283"/>
      <c r="G338" s="193">
        <v>1</v>
      </c>
      <c r="H338" s="282">
        <v>2</v>
      </c>
      <c r="I338" s="193">
        <v>850</v>
      </c>
      <c r="J338" s="193" t="s">
        <v>390</v>
      </c>
      <c r="K338" s="282" t="s">
        <v>432</v>
      </c>
      <c r="L338" s="283">
        <v>45170</v>
      </c>
      <c r="M338" s="281"/>
      <c r="N338" s="195" t="s">
        <v>141</v>
      </c>
      <c r="O338" s="466">
        <v>0</v>
      </c>
      <c r="P338" s="285">
        <v>45901</v>
      </c>
      <c r="Q338" s="285">
        <v>46022</v>
      </c>
      <c r="R338" s="288">
        <v>1</v>
      </c>
    </row>
    <row r="339" spans="1:18" hidden="1">
      <c r="A339" s="282">
        <v>2774</v>
      </c>
      <c r="B339" s="194"/>
      <c r="C339" s="193"/>
      <c r="D339" s="193"/>
      <c r="E339" s="193"/>
      <c r="F339" s="283"/>
      <c r="G339" s="193">
        <v>4</v>
      </c>
      <c r="H339" s="282">
        <v>5</v>
      </c>
      <c r="I339" s="193">
        <v>850</v>
      </c>
      <c r="J339" s="193" t="s">
        <v>390</v>
      </c>
      <c r="K339" s="282" t="s">
        <v>432</v>
      </c>
      <c r="L339" s="283">
        <v>45170</v>
      </c>
      <c r="M339" s="281"/>
      <c r="N339" s="195" t="s">
        <v>141</v>
      </c>
      <c r="O339" s="466">
        <v>0</v>
      </c>
      <c r="P339" s="285">
        <v>45901</v>
      </c>
      <c r="Q339" s="285">
        <v>46022</v>
      </c>
      <c r="R339" s="288">
        <v>1</v>
      </c>
    </row>
    <row r="340" spans="1:18" hidden="1">
      <c r="A340" s="282">
        <v>2774</v>
      </c>
      <c r="B340" s="194"/>
      <c r="C340" s="282"/>
      <c r="D340" s="282"/>
      <c r="E340" s="282"/>
      <c r="F340" s="283"/>
      <c r="G340" s="282">
        <v>5</v>
      </c>
      <c r="H340" s="282">
        <v>6</v>
      </c>
      <c r="I340" s="282">
        <v>850</v>
      </c>
      <c r="J340" s="282" t="s">
        <v>390</v>
      </c>
      <c r="K340" s="282" t="s">
        <v>431</v>
      </c>
      <c r="L340" s="283">
        <v>44805</v>
      </c>
      <c r="M340" s="281"/>
      <c r="N340" s="287" t="s">
        <v>142</v>
      </c>
      <c r="O340" s="466">
        <v>0</v>
      </c>
      <c r="P340" s="285">
        <v>45901</v>
      </c>
      <c r="Q340" s="285">
        <v>46022</v>
      </c>
      <c r="R340" s="288">
        <v>1</v>
      </c>
    </row>
    <row r="341" spans="1:18" hidden="1">
      <c r="A341" s="282">
        <v>2774</v>
      </c>
      <c r="B341" s="194"/>
      <c r="C341" s="282"/>
      <c r="D341" s="282"/>
      <c r="E341" s="282"/>
      <c r="F341" s="283"/>
      <c r="G341" s="282">
        <v>5</v>
      </c>
      <c r="H341" s="282">
        <v>6</v>
      </c>
      <c r="I341" s="282">
        <v>850</v>
      </c>
      <c r="J341" s="282" t="s">
        <v>390</v>
      </c>
      <c r="K341" s="282" t="s">
        <v>431</v>
      </c>
      <c r="L341" s="283">
        <v>44805</v>
      </c>
      <c r="M341" s="281"/>
      <c r="N341" s="287" t="s">
        <v>142</v>
      </c>
      <c r="O341" s="466">
        <v>0</v>
      </c>
      <c r="P341" s="285">
        <v>45901</v>
      </c>
      <c r="Q341" s="285">
        <v>46022</v>
      </c>
      <c r="R341" s="288">
        <v>1</v>
      </c>
    </row>
    <row r="342" spans="1:18" hidden="1">
      <c r="A342" s="282">
        <v>2774</v>
      </c>
      <c r="B342" s="194"/>
      <c r="C342" s="282"/>
      <c r="D342" s="282"/>
      <c r="E342" s="282"/>
      <c r="F342" s="283"/>
      <c r="G342" s="282">
        <v>5</v>
      </c>
      <c r="H342" s="282">
        <v>6</v>
      </c>
      <c r="I342" s="282">
        <v>850</v>
      </c>
      <c r="J342" s="282" t="s">
        <v>390</v>
      </c>
      <c r="K342" s="282" t="s">
        <v>431</v>
      </c>
      <c r="L342" s="283">
        <v>44805</v>
      </c>
      <c r="M342" s="281"/>
      <c r="N342" s="287" t="s">
        <v>142</v>
      </c>
      <c r="O342" s="466">
        <v>0</v>
      </c>
      <c r="P342" s="285">
        <v>45901</v>
      </c>
      <c r="Q342" s="285">
        <v>46022</v>
      </c>
      <c r="R342" s="288">
        <v>1</v>
      </c>
    </row>
    <row r="343" spans="1:18" hidden="1">
      <c r="A343" s="282">
        <v>2774</v>
      </c>
      <c r="B343" s="194"/>
      <c r="C343" s="282"/>
      <c r="D343" s="282"/>
      <c r="E343" s="282"/>
      <c r="F343" s="283"/>
      <c r="G343" s="282">
        <v>4</v>
      </c>
      <c r="H343" s="282">
        <v>5</v>
      </c>
      <c r="I343" s="282">
        <v>850</v>
      </c>
      <c r="J343" s="282" t="s">
        <v>390</v>
      </c>
      <c r="K343" s="282" t="s">
        <v>431</v>
      </c>
      <c r="L343" s="283">
        <v>45536</v>
      </c>
      <c r="M343" s="281"/>
      <c r="N343" s="287" t="s">
        <v>142</v>
      </c>
      <c r="O343" s="466">
        <v>0</v>
      </c>
      <c r="P343" s="285">
        <v>45901</v>
      </c>
      <c r="Q343" s="285">
        <v>46022</v>
      </c>
      <c r="R343" s="288">
        <v>1</v>
      </c>
    </row>
    <row r="344" spans="1:18" hidden="1">
      <c r="A344" s="282">
        <v>2774</v>
      </c>
      <c r="B344" s="194"/>
      <c r="C344" s="193"/>
      <c r="D344" s="193"/>
      <c r="E344" s="193"/>
      <c r="F344" s="283"/>
      <c r="G344" s="193">
        <v>3</v>
      </c>
      <c r="H344" s="282">
        <v>4</v>
      </c>
      <c r="I344" s="193">
        <v>850</v>
      </c>
      <c r="J344" s="193" t="s">
        <v>390</v>
      </c>
      <c r="K344" s="282" t="s">
        <v>431</v>
      </c>
      <c r="L344" s="283">
        <v>45901</v>
      </c>
      <c r="M344" s="281"/>
      <c r="N344" s="195" t="s">
        <v>142</v>
      </c>
      <c r="O344" s="466">
        <v>0</v>
      </c>
      <c r="P344" s="285">
        <v>45901</v>
      </c>
      <c r="Q344" s="285">
        <v>46022</v>
      </c>
      <c r="R344" s="288">
        <v>1</v>
      </c>
    </row>
    <row r="345" spans="1:18" hidden="1">
      <c r="A345" s="193">
        <v>2774</v>
      </c>
      <c r="B345" s="194"/>
      <c r="C345" s="193"/>
      <c r="D345" s="193"/>
      <c r="E345" s="193"/>
      <c r="F345" s="283"/>
      <c r="G345" s="193">
        <v>2</v>
      </c>
      <c r="H345" s="282">
        <v>3</v>
      </c>
      <c r="I345" s="193">
        <v>850</v>
      </c>
      <c r="J345" s="193" t="s">
        <v>390</v>
      </c>
      <c r="K345" s="282" t="s">
        <v>431</v>
      </c>
      <c r="L345" s="283">
        <v>45663</v>
      </c>
      <c r="M345" s="281"/>
      <c r="N345" s="195" t="s">
        <v>142</v>
      </c>
      <c r="O345" s="466">
        <v>0</v>
      </c>
      <c r="P345" s="285">
        <v>45901</v>
      </c>
      <c r="Q345" s="285">
        <v>46022</v>
      </c>
      <c r="R345" s="288">
        <v>1</v>
      </c>
    </row>
    <row r="346" spans="1:18" hidden="1">
      <c r="A346" s="282">
        <v>2774</v>
      </c>
      <c r="B346" s="194"/>
      <c r="C346" s="282"/>
      <c r="D346" s="282"/>
      <c r="E346" s="282"/>
      <c r="F346" s="283"/>
      <c r="G346" s="282">
        <v>4</v>
      </c>
      <c r="H346" s="282">
        <v>5</v>
      </c>
      <c r="I346" s="282">
        <v>850</v>
      </c>
      <c r="J346" s="282" t="s">
        <v>390</v>
      </c>
      <c r="K346" s="282" t="s">
        <v>432</v>
      </c>
      <c r="L346" s="283">
        <v>45170</v>
      </c>
      <c r="M346" s="281"/>
      <c r="N346" s="287" t="s">
        <v>141</v>
      </c>
      <c r="O346" s="466">
        <v>0</v>
      </c>
      <c r="P346" s="285">
        <v>45901</v>
      </c>
      <c r="Q346" s="285">
        <v>46022</v>
      </c>
      <c r="R346" s="288">
        <v>1</v>
      </c>
    </row>
    <row r="347" spans="1:18" hidden="1">
      <c r="A347" s="282">
        <v>2774</v>
      </c>
      <c r="B347" s="194"/>
      <c r="C347" s="479"/>
      <c r="D347" s="479"/>
      <c r="E347" s="479"/>
      <c r="F347" s="480"/>
      <c r="G347" s="282">
        <v>6</v>
      </c>
      <c r="H347" s="282">
        <v>7</v>
      </c>
      <c r="I347" s="282">
        <v>850</v>
      </c>
      <c r="J347" s="282" t="s">
        <v>390</v>
      </c>
      <c r="K347" s="282" t="s">
        <v>431</v>
      </c>
      <c r="L347" s="283">
        <v>44805</v>
      </c>
      <c r="M347" s="281">
        <v>45900</v>
      </c>
      <c r="N347" s="287" t="s">
        <v>142</v>
      </c>
      <c r="O347" s="466">
        <v>0</v>
      </c>
      <c r="P347" s="285" t="s">
        <v>399</v>
      </c>
      <c r="Q347" s="285" t="s">
        <v>399</v>
      </c>
      <c r="R347" s="288">
        <v>0</v>
      </c>
    </row>
    <row r="348" spans="1:18" hidden="1">
      <c r="A348" s="282">
        <v>2774</v>
      </c>
      <c r="B348" s="194"/>
      <c r="C348" s="479"/>
      <c r="D348" s="479"/>
      <c r="E348" s="479"/>
      <c r="F348" s="480"/>
      <c r="G348" s="282">
        <v>6</v>
      </c>
      <c r="H348" s="282">
        <v>7</v>
      </c>
      <c r="I348" s="282">
        <v>850</v>
      </c>
      <c r="J348" s="282" t="s">
        <v>390</v>
      </c>
      <c r="K348" s="282" t="s">
        <v>431</v>
      </c>
      <c r="L348" s="283">
        <v>44805</v>
      </c>
      <c r="M348" s="281">
        <v>45900</v>
      </c>
      <c r="N348" s="287" t="s">
        <v>142</v>
      </c>
      <c r="O348" s="466">
        <v>0</v>
      </c>
      <c r="P348" s="285" t="s">
        <v>399</v>
      </c>
      <c r="Q348" s="285" t="s">
        <v>399</v>
      </c>
      <c r="R348" s="288">
        <v>0</v>
      </c>
    </row>
    <row r="349" spans="1:18" hidden="1">
      <c r="A349" s="282">
        <v>2774</v>
      </c>
      <c r="B349" s="194"/>
      <c r="C349" s="479"/>
      <c r="D349" s="479"/>
      <c r="E349" s="479"/>
      <c r="F349" s="480"/>
      <c r="G349" s="282">
        <v>4</v>
      </c>
      <c r="H349" s="282">
        <v>5</v>
      </c>
      <c r="I349" s="282">
        <v>850</v>
      </c>
      <c r="J349" s="282" t="s">
        <v>390</v>
      </c>
      <c r="K349" s="282" t="s">
        <v>431</v>
      </c>
      <c r="L349" s="283">
        <v>45438</v>
      </c>
      <c r="M349" s="281"/>
      <c r="N349" s="287" t="s">
        <v>142</v>
      </c>
      <c r="O349" s="466">
        <v>0</v>
      </c>
      <c r="P349" s="285">
        <v>45901</v>
      </c>
      <c r="Q349" s="285">
        <v>46022</v>
      </c>
      <c r="R349" s="288">
        <v>1</v>
      </c>
    </row>
    <row r="350" spans="1:18" hidden="1">
      <c r="A350" s="282">
        <v>2774</v>
      </c>
      <c r="B350" s="194"/>
      <c r="C350" s="193"/>
      <c r="D350" s="193"/>
      <c r="E350" s="193"/>
      <c r="F350" s="283"/>
      <c r="G350" s="193">
        <v>5</v>
      </c>
      <c r="H350" s="282">
        <v>6</v>
      </c>
      <c r="I350" s="193">
        <v>850</v>
      </c>
      <c r="J350" s="193" t="s">
        <v>390</v>
      </c>
      <c r="K350" s="282" t="s">
        <v>431</v>
      </c>
      <c r="L350" s="283">
        <v>44805</v>
      </c>
      <c r="M350" s="281"/>
      <c r="N350" s="195" t="s">
        <v>142</v>
      </c>
      <c r="O350" s="466">
        <v>0</v>
      </c>
      <c r="P350" s="285">
        <v>45901</v>
      </c>
      <c r="Q350" s="285">
        <v>46022</v>
      </c>
      <c r="R350" s="288">
        <v>1</v>
      </c>
    </row>
    <row r="351" spans="1:18" hidden="1">
      <c r="A351" s="282">
        <v>2774</v>
      </c>
      <c r="B351" s="194"/>
      <c r="C351" s="282"/>
      <c r="D351" s="282"/>
      <c r="E351" s="282"/>
      <c r="F351" s="283"/>
      <c r="G351" s="282">
        <v>5</v>
      </c>
      <c r="H351" s="282">
        <v>6</v>
      </c>
      <c r="I351" s="282">
        <v>850</v>
      </c>
      <c r="J351" s="282" t="s">
        <v>390</v>
      </c>
      <c r="K351" s="282" t="s">
        <v>431</v>
      </c>
      <c r="L351" s="283">
        <v>44652</v>
      </c>
      <c r="M351" s="281"/>
      <c r="N351" s="287" t="s">
        <v>142</v>
      </c>
      <c r="O351" s="466">
        <v>0</v>
      </c>
      <c r="P351" s="285">
        <v>45901</v>
      </c>
      <c r="Q351" s="285">
        <v>46022</v>
      </c>
      <c r="R351" s="288">
        <v>1</v>
      </c>
    </row>
    <row r="352" spans="1:18" hidden="1">
      <c r="A352" s="282">
        <v>2774</v>
      </c>
      <c r="B352" s="194"/>
      <c r="C352" s="282"/>
      <c r="D352" s="282"/>
      <c r="E352" s="282"/>
      <c r="F352" s="283"/>
      <c r="G352" s="282">
        <v>3</v>
      </c>
      <c r="H352" s="282">
        <v>4</v>
      </c>
      <c r="I352" s="282">
        <v>850</v>
      </c>
      <c r="J352" s="282" t="s">
        <v>390</v>
      </c>
      <c r="K352" s="282" t="s">
        <v>431</v>
      </c>
      <c r="L352" s="283">
        <v>45901</v>
      </c>
      <c r="M352" s="284"/>
      <c r="N352" s="467" t="s">
        <v>142</v>
      </c>
      <c r="O352" s="466">
        <v>0</v>
      </c>
      <c r="P352" s="285">
        <v>45901</v>
      </c>
      <c r="Q352" s="285">
        <v>46022</v>
      </c>
      <c r="R352" s="288">
        <v>1</v>
      </c>
    </row>
    <row r="353" spans="1:18" hidden="1">
      <c r="A353" s="282">
        <v>2774</v>
      </c>
      <c r="B353" s="194"/>
      <c r="C353" s="282"/>
      <c r="D353" s="282"/>
      <c r="E353" s="282"/>
      <c r="F353" s="283"/>
      <c r="G353" s="282">
        <v>1</v>
      </c>
      <c r="H353" s="282">
        <v>2</v>
      </c>
      <c r="I353" s="282">
        <v>850</v>
      </c>
      <c r="J353" s="282" t="s">
        <v>390</v>
      </c>
      <c r="K353" s="282" t="s">
        <v>431</v>
      </c>
      <c r="L353" s="283">
        <v>45901</v>
      </c>
      <c r="M353" s="284"/>
      <c r="N353" s="467" t="s">
        <v>142</v>
      </c>
      <c r="O353" s="466">
        <v>0</v>
      </c>
      <c r="P353" s="285">
        <v>45901</v>
      </c>
      <c r="Q353" s="285">
        <v>46022</v>
      </c>
      <c r="R353" s="288">
        <v>1</v>
      </c>
    </row>
    <row r="354" spans="1:18" hidden="1">
      <c r="A354" s="282">
        <v>2774</v>
      </c>
      <c r="B354" s="194"/>
      <c r="C354" s="282"/>
      <c r="D354" s="282"/>
      <c r="E354" s="282"/>
      <c r="F354" s="283"/>
      <c r="G354" s="282">
        <v>6</v>
      </c>
      <c r="H354" s="282">
        <v>7</v>
      </c>
      <c r="I354" s="282">
        <v>850</v>
      </c>
      <c r="J354" s="282" t="s">
        <v>390</v>
      </c>
      <c r="K354" s="282" t="s">
        <v>431</v>
      </c>
      <c r="L354" s="283">
        <v>43344</v>
      </c>
      <c r="M354" s="281">
        <v>45900</v>
      </c>
      <c r="N354" s="467" t="s">
        <v>142</v>
      </c>
      <c r="O354" s="466">
        <v>0</v>
      </c>
      <c r="P354" s="285" t="s">
        <v>399</v>
      </c>
      <c r="Q354" s="285" t="s">
        <v>399</v>
      </c>
      <c r="R354" s="288">
        <v>0</v>
      </c>
    </row>
    <row r="355" spans="1:18" hidden="1">
      <c r="A355" s="282">
        <v>2774</v>
      </c>
      <c r="B355" s="194"/>
      <c r="C355" s="282"/>
      <c r="D355" s="282"/>
      <c r="E355" s="282"/>
      <c r="F355" s="283"/>
      <c r="G355" s="193">
        <v>5</v>
      </c>
      <c r="H355" s="282">
        <v>6</v>
      </c>
      <c r="I355" s="282">
        <v>850</v>
      </c>
      <c r="J355" s="282" t="s">
        <v>390</v>
      </c>
      <c r="K355" s="193" t="s">
        <v>431</v>
      </c>
      <c r="L355" s="283">
        <v>44805</v>
      </c>
      <c r="M355" s="284">
        <v>45900</v>
      </c>
      <c r="N355" s="467" t="s">
        <v>142</v>
      </c>
      <c r="O355" s="466">
        <v>0</v>
      </c>
      <c r="P355" s="285" t="s">
        <v>399</v>
      </c>
      <c r="Q355" s="285" t="s">
        <v>399</v>
      </c>
      <c r="R355" s="288">
        <v>0</v>
      </c>
    </row>
    <row r="356" spans="1:18" hidden="1">
      <c r="A356" s="282">
        <v>2774</v>
      </c>
      <c r="B356" s="194"/>
      <c r="C356" s="282"/>
      <c r="D356" s="282"/>
      <c r="E356" s="282"/>
      <c r="F356" s="283"/>
      <c r="G356" s="282">
        <v>5</v>
      </c>
      <c r="H356" s="282">
        <v>6</v>
      </c>
      <c r="I356" s="282">
        <v>850</v>
      </c>
      <c r="J356" s="282" t="s">
        <v>390</v>
      </c>
      <c r="K356" s="282" t="s">
        <v>431</v>
      </c>
      <c r="L356" s="283">
        <v>44805</v>
      </c>
      <c r="M356" s="284"/>
      <c r="N356" s="467" t="s">
        <v>142</v>
      </c>
      <c r="O356" s="466">
        <v>0</v>
      </c>
      <c r="P356" s="285">
        <v>45901</v>
      </c>
      <c r="Q356" s="285">
        <v>46022</v>
      </c>
      <c r="R356" s="288">
        <v>1</v>
      </c>
    </row>
    <row r="357" spans="1:18" hidden="1">
      <c r="A357" s="282">
        <v>2774</v>
      </c>
      <c r="B357" s="194"/>
      <c r="C357" s="282"/>
      <c r="D357" s="282"/>
      <c r="E357" s="282"/>
      <c r="F357" s="283"/>
      <c r="G357" s="282">
        <v>4</v>
      </c>
      <c r="H357" s="282">
        <v>5</v>
      </c>
      <c r="I357" s="282">
        <v>850</v>
      </c>
      <c r="J357" s="282" t="s">
        <v>390</v>
      </c>
      <c r="K357" s="282" t="s">
        <v>431</v>
      </c>
      <c r="L357" s="283">
        <v>45170</v>
      </c>
      <c r="M357" s="284"/>
      <c r="N357" s="287" t="s">
        <v>142</v>
      </c>
      <c r="O357" s="466">
        <v>0</v>
      </c>
      <c r="P357" s="285">
        <v>45901</v>
      </c>
      <c r="Q357" s="285">
        <v>46022</v>
      </c>
      <c r="R357" s="288">
        <v>1</v>
      </c>
    </row>
    <row r="358" spans="1:18" hidden="1">
      <c r="A358" s="470">
        <v>2774</v>
      </c>
      <c r="B358" s="194"/>
      <c r="C358" s="282"/>
      <c r="D358" s="282"/>
      <c r="E358" s="282"/>
      <c r="F358" s="283"/>
      <c r="G358" s="282">
        <v>1</v>
      </c>
      <c r="H358" s="282">
        <v>2</v>
      </c>
      <c r="I358" s="282">
        <v>850</v>
      </c>
      <c r="J358" s="282" t="s">
        <v>390</v>
      </c>
      <c r="K358" s="470" t="s">
        <v>431</v>
      </c>
      <c r="L358" s="283">
        <v>45536</v>
      </c>
      <c r="M358" s="284"/>
      <c r="N358" s="472" t="s">
        <v>142</v>
      </c>
      <c r="O358" s="466">
        <v>0</v>
      </c>
      <c r="P358" s="285">
        <v>45901</v>
      </c>
      <c r="Q358" s="285">
        <v>46022</v>
      </c>
      <c r="R358" s="288">
        <v>1</v>
      </c>
    </row>
    <row r="359" spans="1:18" hidden="1">
      <c r="A359" s="282">
        <v>2774</v>
      </c>
      <c r="B359" s="194"/>
      <c r="C359" s="282"/>
      <c r="D359" s="282"/>
      <c r="E359" s="282"/>
      <c r="F359" s="283"/>
      <c r="G359" s="282">
        <v>3</v>
      </c>
      <c r="H359" s="282">
        <v>4</v>
      </c>
      <c r="I359" s="282">
        <v>850</v>
      </c>
      <c r="J359" s="282" t="s">
        <v>390</v>
      </c>
      <c r="K359" s="282" t="s">
        <v>432</v>
      </c>
      <c r="L359" s="283">
        <v>45170</v>
      </c>
      <c r="M359" s="281"/>
      <c r="N359" s="287" t="s">
        <v>141</v>
      </c>
      <c r="O359" s="466">
        <v>0</v>
      </c>
      <c r="P359" s="285">
        <v>45901</v>
      </c>
      <c r="Q359" s="285">
        <v>46022</v>
      </c>
      <c r="R359" s="288">
        <v>1</v>
      </c>
    </row>
    <row r="360" spans="1:18" hidden="1">
      <c r="A360" s="193">
        <v>2774</v>
      </c>
      <c r="B360" s="194"/>
      <c r="C360" s="479"/>
      <c r="D360" s="479"/>
      <c r="E360" s="479"/>
      <c r="F360" s="480"/>
      <c r="G360" s="479">
        <v>4</v>
      </c>
      <c r="H360" s="282">
        <v>5</v>
      </c>
      <c r="I360" s="282">
        <v>850</v>
      </c>
      <c r="J360" s="282" t="s">
        <v>390</v>
      </c>
      <c r="K360" s="282" t="s">
        <v>432</v>
      </c>
      <c r="L360" s="283">
        <v>45170</v>
      </c>
      <c r="M360" s="284"/>
      <c r="N360" s="467" t="s">
        <v>141</v>
      </c>
      <c r="O360" s="466">
        <v>0</v>
      </c>
      <c r="P360" s="285">
        <v>45901</v>
      </c>
      <c r="Q360" s="285">
        <v>46022</v>
      </c>
      <c r="R360" s="288">
        <v>1</v>
      </c>
    </row>
    <row r="361" spans="1:18" hidden="1">
      <c r="A361" s="282">
        <v>2774</v>
      </c>
      <c r="B361" s="194"/>
      <c r="C361" s="282"/>
      <c r="D361" s="282"/>
      <c r="E361" s="282"/>
      <c r="F361" s="283"/>
      <c r="G361" s="282">
        <v>5</v>
      </c>
      <c r="H361" s="282">
        <v>6</v>
      </c>
      <c r="I361" s="282">
        <v>850</v>
      </c>
      <c r="J361" s="282" t="s">
        <v>390</v>
      </c>
      <c r="K361" s="282" t="s">
        <v>432</v>
      </c>
      <c r="L361" s="283">
        <v>45438</v>
      </c>
      <c r="M361" s="284"/>
      <c r="N361" s="195" t="s">
        <v>142</v>
      </c>
      <c r="O361" s="466">
        <v>0</v>
      </c>
      <c r="P361" s="285">
        <v>45901</v>
      </c>
      <c r="Q361" s="285">
        <v>46022</v>
      </c>
      <c r="R361" s="288">
        <v>1</v>
      </c>
    </row>
    <row r="362" spans="1:18" hidden="1">
      <c r="A362" s="282">
        <v>2774</v>
      </c>
      <c r="B362" s="194"/>
      <c r="C362" s="282"/>
      <c r="D362" s="282"/>
      <c r="E362" s="282"/>
      <c r="F362" s="283"/>
      <c r="G362" s="282">
        <v>5</v>
      </c>
      <c r="H362" s="282">
        <v>6</v>
      </c>
      <c r="I362" s="282">
        <v>851</v>
      </c>
      <c r="J362" s="282" t="s">
        <v>433</v>
      </c>
      <c r="K362" s="282" t="s">
        <v>431</v>
      </c>
      <c r="L362" s="283">
        <v>45901</v>
      </c>
      <c r="M362" s="284"/>
      <c r="N362" s="195" t="s">
        <v>142</v>
      </c>
      <c r="O362" s="466">
        <v>0</v>
      </c>
      <c r="P362" s="285">
        <v>45901</v>
      </c>
      <c r="Q362" s="285">
        <v>46022</v>
      </c>
      <c r="R362" s="288">
        <v>1</v>
      </c>
    </row>
    <row r="363" spans="1:18" hidden="1">
      <c r="A363" s="470">
        <v>2776</v>
      </c>
      <c r="B363" s="194"/>
      <c r="C363" s="282"/>
      <c r="D363" s="282"/>
      <c r="E363" s="282"/>
      <c r="F363" s="283"/>
      <c r="G363" s="282">
        <v>4</v>
      </c>
      <c r="H363" s="282">
        <v>5</v>
      </c>
      <c r="I363" s="470">
        <v>850</v>
      </c>
      <c r="J363" s="282" t="s">
        <v>390</v>
      </c>
      <c r="K363" s="470" t="s">
        <v>434</v>
      </c>
      <c r="L363" s="283">
        <v>45397</v>
      </c>
      <c r="M363" s="284"/>
      <c r="N363" s="194" t="s">
        <v>130</v>
      </c>
      <c r="O363" s="466">
        <v>0</v>
      </c>
      <c r="P363" s="285">
        <v>45901</v>
      </c>
      <c r="Q363" s="285">
        <v>46022</v>
      </c>
      <c r="R363" s="288">
        <v>1</v>
      </c>
    </row>
    <row r="364" spans="1:18" hidden="1">
      <c r="A364" s="470">
        <v>2776</v>
      </c>
      <c r="B364" s="194"/>
      <c r="C364" s="282"/>
      <c r="D364" s="282"/>
      <c r="E364" s="282"/>
      <c r="F364" s="283"/>
      <c r="G364" s="282">
        <v>4</v>
      </c>
      <c r="H364" s="282">
        <v>5</v>
      </c>
      <c r="I364" s="470">
        <v>850</v>
      </c>
      <c r="J364" s="282" t="s">
        <v>390</v>
      </c>
      <c r="K364" s="470" t="s">
        <v>434</v>
      </c>
      <c r="L364" s="283">
        <v>45170</v>
      </c>
      <c r="M364" s="284"/>
      <c r="N364" s="194" t="s">
        <v>130</v>
      </c>
      <c r="O364" s="466">
        <v>0</v>
      </c>
      <c r="P364" s="285">
        <v>45901</v>
      </c>
      <c r="Q364" s="285">
        <v>46022</v>
      </c>
      <c r="R364" s="288">
        <v>1</v>
      </c>
    </row>
    <row r="365" spans="1:18" hidden="1">
      <c r="A365" s="193">
        <v>2776</v>
      </c>
      <c r="B365" s="194"/>
      <c r="C365" s="479"/>
      <c r="D365" s="479"/>
      <c r="E365" s="479"/>
      <c r="F365" s="480"/>
      <c r="G365" s="479">
        <v>1</v>
      </c>
      <c r="H365" s="282">
        <v>2</v>
      </c>
      <c r="I365" s="473">
        <v>850</v>
      </c>
      <c r="J365" s="282" t="s">
        <v>390</v>
      </c>
      <c r="K365" s="282" t="s">
        <v>434</v>
      </c>
      <c r="L365" s="283">
        <v>45789</v>
      </c>
      <c r="M365" s="284"/>
      <c r="N365" s="470" t="s">
        <v>130</v>
      </c>
      <c r="O365" s="466">
        <v>0</v>
      </c>
      <c r="P365" s="285">
        <v>45901</v>
      </c>
      <c r="Q365" s="285">
        <v>46022</v>
      </c>
      <c r="R365" s="288">
        <v>1</v>
      </c>
    </row>
    <row r="366" spans="1:18" hidden="1">
      <c r="A366" s="193">
        <v>2776</v>
      </c>
      <c r="B366" s="194"/>
      <c r="C366" s="479"/>
      <c r="D366" s="479"/>
      <c r="E366" s="479"/>
      <c r="F366" s="480"/>
      <c r="G366" s="479">
        <v>5</v>
      </c>
      <c r="H366" s="282">
        <v>6</v>
      </c>
      <c r="I366" s="473">
        <v>850</v>
      </c>
      <c r="J366" s="282" t="s">
        <v>390</v>
      </c>
      <c r="K366" s="282" t="s">
        <v>434</v>
      </c>
      <c r="L366" s="283">
        <v>44440</v>
      </c>
      <c r="M366" s="284"/>
      <c r="N366" s="470" t="s">
        <v>130</v>
      </c>
      <c r="O366" s="466">
        <v>0</v>
      </c>
      <c r="P366" s="285">
        <v>45901</v>
      </c>
      <c r="Q366" s="285">
        <v>46022</v>
      </c>
      <c r="R366" s="288">
        <v>1</v>
      </c>
    </row>
    <row r="367" spans="1:18" hidden="1">
      <c r="A367" s="193">
        <v>2776</v>
      </c>
      <c r="B367" s="194"/>
      <c r="C367" s="282"/>
      <c r="D367" s="282"/>
      <c r="E367" s="282"/>
      <c r="F367" s="283"/>
      <c r="G367" s="193">
        <v>1</v>
      </c>
      <c r="H367" s="282">
        <v>2</v>
      </c>
      <c r="I367" s="282">
        <v>850</v>
      </c>
      <c r="J367" s="282" t="s">
        <v>390</v>
      </c>
      <c r="K367" s="282" t="s">
        <v>434</v>
      </c>
      <c r="L367" s="283">
        <v>45689</v>
      </c>
      <c r="M367" s="284"/>
      <c r="N367" s="470" t="s">
        <v>130</v>
      </c>
      <c r="O367" s="466">
        <v>0</v>
      </c>
      <c r="P367" s="285">
        <v>45901</v>
      </c>
      <c r="Q367" s="285">
        <v>46022</v>
      </c>
      <c r="R367" s="288">
        <v>1</v>
      </c>
    </row>
    <row r="368" spans="1:18" hidden="1">
      <c r="A368" s="470">
        <v>2776</v>
      </c>
      <c r="B368" s="194"/>
      <c r="C368" s="282"/>
      <c r="D368" s="282"/>
      <c r="E368" s="282"/>
      <c r="F368" s="283"/>
      <c r="G368" s="282">
        <v>5</v>
      </c>
      <c r="H368" s="282">
        <v>6</v>
      </c>
      <c r="I368" s="470">
        <v>850</v>
      </c>
      <c r="J368" s="282" t="s">
        <v>390</v>
      </c>
      <c r="K368" s="470" t="s">
        <v>434</v>
      </c>
      <c r="L368" s="283">
        <v>45536</v>
      </c>
      <c r="M368" s="284"/>
      <c r="N368" s="194" t="s">
        <v>130</v>
      </c>
      <c r="O368" s="466">
        <v>0</v>
      </c>
      <c r="P368" s="285">
        <v>45901</v>
      </c>
      <c r="Q368" s="285">
        <v>46022</v>
      </c>
      <c r="R368" s="288">
        <v>1</v>
      </c>
    </row>
    <row r="369" spans="1:18" hidden="1">
      <c r="A369" s="470">
        <v>2776</v>
      </c>
      <c r="B369" s="194"/>
      <c r="C369" s="282"/>
      <c r="D369" s="282"/>
      <c r="E369" s="282"/>
      <c r="F369" s="283"/>
      <c r="G369" s="282">
        <v>4</v>
      </c>
      <c r="H369" s="282">
        <v>5</v>
      </c>
      <c r="I369" s="470">
        <v>850</v>
      </c>
      <c r="J369" s="282" t="s">
        <v>390</v>
      </c>
      <c r="K369" s="470" t="s">
        <v>434</v>
      </c>
      <c r="L369" s="283">
        <v>45341</v>
      </c>
      <c r="M369" s="284"/>
      <c r="N369" s="194" t="s">
        <v>130</v>
      </c>
      <c r="O369" s="466">
        <v>0</v>
      </c>
      <c r="P369" s="285">
        <v>45901</v>
      </c>
      <c r="Q369" s="285">
        <v>46022</v>
      </c>
      <c r="R369" s="288">
        <v>1</v>
      </c>
    </row>
    <row r="370" spans="1:18" hidden="1">
      <c r="A370" s="470">
        <v>2776</v>
      </c>
      <c r="B370" s="194"/>
      <c r="C370" s="282"/>
      <c r="D370" s="282"/>
      <c r="E370" s="282"/>
      <c r="F370" s="283"/>
      <c r="G370" s="282">
        <v>1</v>
      </c>
      <c r="H370" s="282">
        <v>2</v>
      </c>
      <c r="I370" s="470">
        <v>850</v>
      </c>
      <c r="J370" s="282" t="s">
        <v>390</v>
      </c>
      <c r="K370" s="470" t="s">
        <v>434</v>
      </c>
      <c r="L370" s="283">
        <v>45536</v>
      </c>
      <c r="M370" s="284"/>
      <c r="N370" s="194" t="s">
        <v>130</v>
      </c>
      <c r="O370" s="466">
        <v>0</v>
      </c>
      <c r="P370" s="285">
        <v>45901</v>
      </c>
      <c r="Q370" s="285">
        <v>46022</v>
      </c>
      <c r="R370" s="288">
        <v>1</v>
      </c>
    </row>
    <row r="371" spans="1:18" hidden="1">
      <c r="A371" s="470">
        <v>2776</v>
      </c>
      <c r="B371" s="194"/>
      <c r="C371" s="282"/>
      <c r="D371" s="282"/>
      <c r="E371" s="282"/>
      <c r="F371" s="283"/>
      <c r="G371" s="282">
        <v>3</v>
      </c>
      <c r="H371" s="282">
        <v>4</v>
      </c>
      <c r="I371" s="470">
        <v>850</v>
      </c>
      <c r="J371" s="282" t="s">
        <v>390</v>
      </c>
      <c r="K371" s="470" t="s">
        <v>434</v>
      </c>
      <c r="L371" s="283">
        <v>44805</v>
      </c>
      <c r="M371" s="284"/>
      <c r="N371" s="194" t="s">
        <v>130</v>
      </c>
      <c r="O371" s="466">
        <v>0</v>
      </c>
      <c r="P371" s="285">
        <v>45901</v>
      </c>
      <c r="Q371" s="285">
        <v>46022</v>
      </c>
      <c r="R371" s="288">
        <v>1</v>
      </c>
    </row>
    <row r="372" spans="1:18" hidden="1">
      <c r="A372" s="194">
        <v>2776</v>
      </c>
      <c r="B372" s="194"/>
      <c r="C372" s="479"/>
      <c r="D372" s="479"/>
      <c r="E372" s="479"/>
      <c r="F372" s="480"/>
      <c r="G372" s="479">
        <v>6</v>
      </c>
      <c r="H372" s="282">
        <v>7</v>
      </c>
      <c r="I372" s="474">
        <v>850</v>
      </c>
      <c r="J372" s="282" t="s">
        <v>390</v>
      </c>
      <c r="K372" s="470" t="s">
        <v>434</v>
      </c>
      <c r="L372" s="283">
        <v>44440</v>
      </c>
      <c r="M372" s="284">
        <v>45900</v>
      </c>
      <c r="N372" s="470" t="s">
        <v>130</v>
      </c>
      <c r="O372" s="466">
        <v>0</v>
      </c>
      <c r="P372" s="285" t="s">
        <v>399</v>
      </c>
      <c r="Q372" s="285" t="s">
        <v>399</v>
      </c>
      <c r="R372" s="288">
        <v>0</v>
      </c>
    </row>
    <row r="373" spans="1:18" hidden="1">
      <c r="A373" s="193">
        <v>2776</v>
      </c>
      <c r="B373" s="194"/>
      <c r="C373" s="479"/>
      <c r="D373" s="479"/>
      <c r="E373" s="479"/>
      <c r="F373" s="480"/>
      <c r="G373" s="479">
        <v>4</v>
      </c>
      <c r="H373" s="282">
        <v>5</v>
      </c>
      <c r="I373" s="473">
        <v>850</v>
      </c>
      <c r="J373" s="282" t="s">
        <v>390</v>
      </c>
      <c r="K373" s="282" t="s">
        <v>434</v>
      </c>
      <c r="L373" s="283">
        <v>44805</v>
      </c>
      <c r="M373" s="284"/>
      <c r="N373" s="470" t="s">
        <v>130</v>
      </c>
      <c r="O373" s="466">
        <v>0</v>
      </c>
      <c r="P373" s="285">
        <v>45901</v>
      </c>
      <c r="Q373" s="285">
        <v>46022</v>
      </c>
      <c r="R373" s="288">
        <v>1</v>
      </c>
    </row>
    <row r="374" spans="1:18" hidden="1">
      <c r="A374" s="193">
        <v>2776</v>
      </c>
      <c r="B374" s="194"/>
      <c r="C374" s="479"/>
      <c r="D374" s="479"/>
      <c r="E374" s="479"/>
      <c r="F374" s="480"/>
      <c r="G374" s="479">
        <v>3</v>
      </c>
      <c r="H374" s="282">
        <v>4</v>
      </c>
      <c r="I374" s="473">
        <v>850</v>
      </c>
      <c r="J374" s="282" t="s">
        <v>390</v>
      </c>
      <c r="K374" s="282" t="s">
        <v>434</v>
      </c>
      <c r="L374" s="283">
        <v>45689</v>
      </c>
      <c r="M374" s="284"/>
      <c r="N374" s="470" t="s">
        <v>130</v>
      </c>
      <c r="O374" s="466">
        <v>0</v>
      </c>
      <c r="P374" s="285">
        <v>45901</v>
      </c>
      <c r="Q374" s="285">
        <v>46022</v>
      </c>
      <c r="R374" s="288">
        <v>1</v>
      </c>
    </row>
    <row r="375" spans="1:18" hidden="1">
      <c r="A375" s="193">
        <v>2776</v>
      </c>
      <c r="B375" s="194"/>
      <c r="C375" s="479"/>
      <c r="D375" s="479"/>
      <c r="E375" s="479"/>
      <c r="F375" s="480"/>
      <c r="G375" s="479">
        <v>6</v>
      </c>
      <c r="H375" s="282">
        <v>7</v>
      </c>
      <c r="I375" s="473">
        <v>850</v>
      </c>
      <c r="J375" s="282" t="s">
        <v>390</v>
      </c>
      <c r="K375" s="282" t="s">
        <v>434</v>
      </c>
      <c r="L375" s="283">
        <v>44440</v>
      </c>
      <c r="M375" s="284">
        <v>45900</v>
      </c>
      <c r="N375" s="470" t="s">
        <v>130</v>
      </c>
      <c r="O375" s="466">
        <v>0</v>
      </c>
      <c r="P375" s="285" t="s">
        <v>399</v>
      </c>
      <c r="Q375" s="285" t="s">
        <v>399</v>
      </c>
      <c r="R375" s="288">
        <v>0</v>
      </c>
    </row>
    <row r="376" spans="1:18" hidden="1">
      <c r="A376" s="193">
        <v>2776</v>
      </c>
      <c r="B376" s="194"/>
      <c r="C376" s="479"/>
      <c r="D376" s="479"/>
      <c r="E376" s="479"/>
      <c r="F376" s="480"/>
      <c r="G376" s="479">
        <v>6</v>
      </c>
      <c r="H376" s="282">
        <v>7</v>
      </c>
      <c r="I376" s="473">
        <v>850</v>
      </c>
      <c r="J376" s="282" t="s">
        <v>390</v>
      </c>
      <c r="K376" s="282" t="s">
        <v>434</v>
      </c>
      <c r="L376" s="283">
        <v>45170</v>
      </c>
      <c r="M376" s="284">
        <v>45900</v>
      </c>
      <c r="N376" s="470" t="s">
        <v>130</v>
      </c>
      <c r="O376" s="466">
        <v>0</v>
      </c>
      <c r="P376" s="285" t="s">
        <v>399</v>
      </c>
      <c r="Q376" s="285" t="s">
        <v>399</v>
      </c>
      <c r="R376" s="288">
        <v>0</v>
      </c>
    </row>
    <row r="377" spans="1:18" hidden="1">
      <c r="A377" s="282">
        <v>2776</v>
      </c>
      <c r="B377" s="194"/>
      <c r="C377" s="282"/>
      <c r="D377" s="282"/>
      <c r="E377" s="282"/>
      <c r="F377" s="283"/>
      <c r="G377" s="282">
        <v>5</v>
      </c>
      <c r="H377" s="282">
        <v>6</v>
      </c>
      <c r="I377" s="282">
        <v>850</v>
      </c>
      <c r="J377" s="282" t="s">
        <v>390</v>
      </c>
      <c r="K377" s="475" t="s">
        <v>434</v>
      </c>
      <c r="L377" s="283">
        <v>45536</v>
      </c>
      <c r="M377" s="284"/>
      <c r="N377" s="194" t="s">
        <v>130</v>
      </c>
      <c r="O377" s="466">
        <v>0</v>
      </c>
      <c r="P377" s="285">
        <v>45901</v>
      </c>
      <c r="Q377" s="285">
        <v>46022</v>
      </c>
      <c r="R377" s="288">
        <v>1</v>
      </c>
    </row>
    <row r="378" spans="1:18" hidden="1">
      <c r="A378" s="470">
        <v>2777</v>
      </c>
      <c r="B378" s="194"/>
      <c r="C378" s="282"/>
      <c r="D378" s="282"/>
      <c r="E378" s="282"/>
      <c r="F378" s="283"/>
      <c r="G378" s="282">
        <v>6</v>
      </c>
      <c r="H378" s="282">
        <v>7</v>
      </c>
      <c r="I378" s="470">
        <v>850</v>
      </c>
      <c r="J378" s="282" t="s">
        <v>390</v>
      </c>
      <c r="K378" s="476" t="s">
        <v>435</v>
      </c>
      <c r="L378" s="283">
        <v>43344</v>
      </c>
      <c r="M378" s="284">
        <v>45900</v>
      </c>
      <c r="N378" s="194" t="s">
        <v>142</v>
      </c>
      <c r="O378" s="466">
        <v>0</v>
      </c>
      <c r="P378" s="285" t="s">
        <v>399</v>
      </c>
      <c r="Q378" s="285" t="s">
        <v>399</v>
      </c>
      <c r="R378" s="288">
        <v>0</v>
      </c>
    </row>
    <row r="379" spans="1:18" hidden="1">
      <c r="A379" s="193">
        <v>2777</v>
      </c>
      <c r="B379" s="194"/>
      <c r="C379" s="473"/>
      <c r="D379" s="475"/>
      <c r="E379" s="475"/>
      <c r="F379" s="475"/>
      <c r="G379" s="473">
        <v>1</v>
      </c>
      <c r="H379" s="282">
        <v>2</v>
      </c>
      <c r="I379" s="473">
        <v>850</v>
      </c>
      <c r="J379" s="475" t="s">
        <v>390</v>
      </c>
      <c r="K379" s="475" t="s">
        <v>436</v>
      </c>
      <c r="L379" s="475">
        <v>45536</v>
      </c>
      <c r="M379" s="477"/>
      <c r="N379" s="194" t="s">
        <v>141</v>
      </c>
      <c r="O379" s="466">
        <v>0</v>
      </c>
      <c r="P379" s="285">
        <v>45901</v>
      </c>
      <c r="Q379" s="285">
        <v>46022</v>
      </c>
      <c r="R379" s="288">
        <v>1</v>
      </c>
    </row>
    <row r="380" spans="1:18" hidden="1">
      <c r="A380" s="282">
        <v>2777</v>
      </c>
      <c r="B380" s="194"/>
      <c r="C380" s="282"/>
      <c r="D380" s="282"/>
      <c r="E380" s="282"/>
      <c r="F380" s="283"/>
      <c r="G380" s="282">
        <v>2</v>
      </c>
      <c r="H380" s="282">
        <v>3</v>
      </c>
      <c r="I380" s="282">
        <v>850</v>
      </c>
      <c r="J380" s="282" t="s">
        <v>390</v>
      </c>
      <c r="K380" s="282" t="s">
        <v>436</v>
      </c>
      <c r="L380" s="283">
        <v>44805</v>
      </c>
      <c r="M380" s="281"/>
      <c r="N380" s="194" t="s">
        <v>141</v>
      </c>
      <c r="O380" s="466">
        <v>0</v>
      </c>
      <c r="P380" s="285">
        <v>45901</v>
      </c>
      <c r="Q380" s="285">
        <v>46022</v>
      </c>
      <c r="R380" s="288">
        <v>1</v>
      </c>
    </row>
    <row r="381" spans="1:18" hidden="1">
      <c r="A381" s="193">
        <v>2777</v>
      </c>
      <c r="B381" s="194"/>
      <c r="C381" s="282"/>
      <c r="D381" s="282"/>
      <c r="E381" s="282"/>
      <c r="F381" s="283"/>
      <c r="G381" s="193">
        <v>1</v>
      </c>
      <c r="H381" s="282">
        <v>2</v>
      </c>
      <c r="I381" s="282">
        <v>850</v>
      </c>
      <c r="J381" s="282" t="s">
        <v>390</v>
      </c>
      <c r="K381" s="282" t="s">
        <v>436</v>
      </c>
      <c r="L381" s="283">
        <v>45170</v>
      </c>
      <c r="M381" s="284"/>
      <c r="N381" s="470" t="s">
        <v>141</v>
      </c>
      <c r="O381" s="466">
        <v>0</v>
      </c>
      <c r="P381" s="285">
        <v>45901</v>
      </c>
      <c r="Q381" s="285">
        <v>46022</v>
      </c>
      <c r="R381" s="288">
        <v>1</v>
      </c>
    </row>
    <row r="382" spans="1:18" hidden="1">
      <c r="A382" s="193">
        <v>2777</v>
      </c>
      <c r="B382" s="194"/>
      <c r="C382" s="479"/>
      <c r="D382" s="479"/>
      <c r="E382" s="479"/>
      <c r="F382" s="480"/>
      <c r="G382" s="479">
        <v>1</v>
      </c>
      <c r="H382" s="282">
        <v>2</v>
      </c>
      <c r="I382" s="473">
        <v>850</v>
      </c>
      <c r="J382" s="282" t="s">
        <v>390</v>
      </c>
      <c r="K382" s="282" t="s">
        <v>436</v>
      </c>
      <c r="L382" s="283">
        <v>45170</v>
      </c>
      <c r="M382" s="284"/>
      <c r="N382" s="470" t="s">
        <v>141</v>
      </c>
      <c r="O382" s="466">
        <v>0</v>
      </c>
      <c r="P382" s="285">
        <v>45901</v>
      </c>
      <c r="Q382" s="285">
        <v>46022</v>
      </c>
      <c r="R382" s="288">
        <v>1</v>
      </c>
    </row>
    <row r="383" spans="1:18" hidden="1">
      <c r="A383" s="282">
        <v>2777</v>
      </c>
      <c r="B383" s="194"/>
      <c r="C383" s="282"/>
      <c r="D383" s="282"/>
      <c r="E383" s="282"/>
      <c r="F383" s="283"/>
      <c r="G383" s="282">
        <v>4</v>
      </c>
      <c r="H383" s="282">
        <v>5</v>
      </c>
      <c r="I383" s="282">
        <v>850</v>
      </c>
      <c r="J383" s="282" t="s">
        <v>390</v>
      </c>
      <c r="K383" s="282" t="s">
        <v>436</v>
      </c>
      <c r="L383" s="283">
        <v>44075</v>
      </c>
      <c r="M383" s="284"/>
      <c r="N383" s="194" t="s">
        <v>141</v>
      </c>
      <c r="O383" s="466">
        <v>0</v>
      </c>
      <c r="P383" s="285">
        <v>45901</v>
      </c>
      <c r="Q383" s="285">
        <v>46022</v>
      </c>
      <c r="R383" s="288">
        <v>1</v>
      </c>
    </row>
    <row r="384" spans="1:18" hidden="1">
      <c r="A384" s="282">
        <v>2777</v>
      </c>
      <c r="B384" s="194"/>
      <c r="C384" s="282"/>
      <c r="D384" s="282"/>
      <c r="E384" s="282"/>
      <c r="F384" s="283"/>
      <c r="G384" s="282">
        <v>6</v>
      </c>
      <c r="H384" s="282">
        <v>7</v>
      </c>
      <c r="I384" s="282">
        <v>850</v>
      </c>
      <c r="J384" s="282" t="s">
        <v>390</v>
      </c>
      <c r="K384" s="282" t="s">
        <v>435</v>
      </c>
      <c r="L384" s="283">
        <v>44440</v>
      </c>
      <c r="M384" s="284">
        <v>45900</v>
      </c>
      <c r="N384" s="194" t="s">
        <v>142</v>
      </c>
      <c r="O384" s="466">
        <v>0</v>
      </c>
      <c r="P384" s="285" t="s">
        <v>399</v>
      </c>
      <c r="Q384" s="285" t="s">
        <v>399</v>
      </c>
      <c r="R384" s="288">
        <v>0</v>
      </c>
    </row>
    <row r="385" spans="1:18" hidden="1">
      <c r="A385" s="282">
        <v>2777</v>
      </c>
      <c r="B385" s="194"/>
      <c r="C385" s="282"/>
      <c r="D385" s="282"/>
      <c r="E385" s="282"/>
      <c r="F385" s="283"/>
      <c r="G385" s="282">
        <v>6</v>
      </c>
      <c r="H385" s="282">
        <v>7</v>
      </c>
      <c r="I385" s="282">
        <v>850</v>
      </c>
      <c r="J385" s="282" t="s">
        <v>390</v>
      </c>
      <c r="K385" s="282" t="s">
        <v>436</v>
      </c>
      <c r="L385" s="283">
        <v>44075</v>
      </c>
      <c r="M385" s="281">
        <v>45900</v>
      </c>
      <c r="N385" s="194" t="s">
        <v>141</v>
      </c>
      <c r="O385" s="466">
        <v>0</v>
      </c>
      <c r="P385" s="285" t="s">
        <v>399</v>
      </c>
      <c r="Q385" s="285" t="s">
        <v>399</v>
      </c>
      <c r="R385" s="288">
        <v>0</v>
      </c>
    </row>
    <row r="386" spans="1:18" hidden="1">
      <c r="A386" s="282">
        <v>2777</v>
      </c>
      <c r="B386" s="194"/>
      <c r="C386" s="282"/>
      <c r="D386" s="282"/>
      <c r="E386" s="282"/>
      <c r="F386" s="283"/>
      <c r="G386" s="282">
        <v>6</v>
      </c>
      <c r="H386" s="282">
        <v>7</v>
      </c>
      <c r="I386" s="282">
        <v>850</v>
      </c>
      <c r="J386" s="282" t="s">
        <v>390</v>
      </c>
      <c r="K386" s="282" t="s">
        <v>435</v>
      </c>
      <c r="L386" s="283">
        <v>44805</v>
      </c>
      <c r="M386" s="284">
        <v>45900</v>
      </c>
      <c r="N386" s="194" t="s">
        <v>142</v>
      </c>
      <c r="O386" s="466">
        <v>0</v>
      </c>
      <c r="P386" s="285" t="s">
        <v>399</v>
      </c>
      <c r="Q386" s="285" t="s">
        <v>399</v>
      </c>
      <c r="R386" s="288">
        <v>0</v>
      </c>
    </row>
    <row r="387" spans="1:18" hidden="1">
      <c r="A387" s="282">
        <v>2777</v>
      </c>
      <c r="B387" s="194"/>
      <c r="C387" s="282"/>
      <c r="D387" s="282"/>
      <c r="E387" s="282"/>
      <c r="F387" s="283"/>
      <c r="G387" s="282">
        <v>2</v>
      </c>
      <c r="H387" s="282">
        <v>3</v>
      </c>
      <c r="I387" s="282">
        <v>850</v>
      </c>
      <c r="J387" s="282" t="s">
        <v>390</v>
      </c>
      <c r="K387" s="282" t="s">
        <v>436</v>
      </c>
      <c r="L387" s="283">
        <v>44805</v>
      </c>
      <c r="M387" s="284"/>
      <c r="N387" s="194" t="s">
        <v>141</v>
      </c>
      <c r="O387" s="466">
        <v>0</v>
      </c>
      <c r="P387" s="285">
        <v>45901</v>
      </c>
      <c r="Q387" s="285">
        <v>46022</v>
      </c>
      <c r="R387" s="288">
        <v>1</v>
      </c>
    </row>
    <row r="388" spans="1:18" hidden="1">
      <c r="A388" s="282">
        <v>2777</v>
      </c>
      <c r="B388" s="194"/>
      <c r="C388" s="479"/>
      <c r="D388" s="282"/>
      <c r="E388" s="282"/>
      <c r="F388" s="480"/>
      <c r="G388" s="479">
        <v>5</v>
      </c>
      <c r="H388" s="282">
        <v>6</v>
      </c>
      <c r="I388" s="282">
        <v>850</v>
      </c>
      <c r="J388" s="282" t="s">
        <v>390</v>
      </c>
      <c r="K388" s="282" t="s">
        <v>436</v>
      </c>
      <c r="L388" s="283">
        <v>45615</v>
      </c>
      <c r="M388" s="281"/>
      <c r="N388" s="472" t="s">
        <v>141</v>
      </c>
      <c r="O388" s="466">
        <v>0</v>
      </c>
      <c r="P388" s="285">
        <v>45901</v>
      </c>
      <c r="Q388" s="285">
        <v>46022</v>
      </c>
      <c r="R388" s="288">
        <v>1</v>
      </c>
    </row>
    <row r="389" spans="1:18" hidden="1">
      <c r="A389" s="282">
        <v>2777</v>
      </c>
      <c r="B389" s="194"/>
      <c r="C389" s="479"/>
      <c r="D389" s="282"/>
      <c r="E389" s="282"/>
      <c r="F389" s="480"/>
      <c r="G389" s="479">
        <v>2</v>
      </c>
      <c r="H389" s="282">
        <v>3</v>
      </c>
      <c r="I389" s="282">
        <v>850</v>
      </c>
      <c r="J389" s="282" t="s">
        <v>390</v>
      </c>
      <c r="K389" s="282" t="s">
        <v>436</v>
      </c>
      <c r="L389" s="283">
        <v>45712</v>
      </c>
      <c r="M389" s="281"/>
      <c r="N389" s="472" t="s">
        <v>141</v>
      </c>
      <c r="O389" s="466">
        <v>0</v>
      </c>
      <c r="P389" s="285">
        <v>45901</v>
      </c>
      <c r="Q389" s="285">
        <v>46022</v>
      </c>
      <c r="R389" s="288">
        <v>1</v>
      </c>
    </row>
    <row r="390" spans="1:18" hidden="1">
      <c r="A390" s="282">
        <v>2777</v>
      </c>
      <c r="B390" s="194"/>
      <c r="C390" s="282"/>
      <c r="D390" s="282"/>
      <c r="E390" s="282"/>
      <c r="F390" s="283"/>
      <c r="G390" s="282">
        <v>6</v>
      </c>
      <c r="H390" s="282">
        <v>7</v>
      </c>
      <c r="I390" s="282">
        <v>850</v>
      </c>
      <c r="J390" s="282" t="s">
        <v>390</v>
      </c>
      <c r="K390" s="282" t="s">
        <v>436</v>
      </c>
      <c r="L390" s="283">
        <v>44075</v>
      </c>
      <c r="M390" s="281">
        <v>45900</v>
      </c>
      <c r="N390" s="472" t="s">
        <v>141</v>
      </c>
      <c r="O390" s="466">
        <v>0</v>
      </c>
      <c r="P390" s="285" t="s">
        <v>399</v>
      </c>
      <c r="Q390" s="285" t="s">
        <v>399</v>
      </c>
      <c r="R390" s="288">
        <v>0</v>
      </c>
    </row>
    <row r="391" spans="1:18" hidden="1">
      <c r="A391" s="193">
        <v>2777</v>
      </c>
      <c r="B391" s="194"/>
      <c r="C391" s="193"/>
      <c r="D391" s="193"/>
      <c r="E391" s="193"/>
      <c r="F391" s="283"/>
      <c r="G391" s="193">
        <v>4</v>
      </c>
      <c r="H391" s="282">
        <v>5</v>
      </c>
      <c r="I391" s="193">
        <v>850</v>
      </c>
      <c r="J391" s="193" t="s">
        <v>390</v>
      </c>
      <c r="K391" s="193" t="s">
        <v>435</v>
      </c>
      <c r="L391" s="283">
        <v>45536</v>
      </c>
      <c r="M391" s="281"/>
      <c r="N391" s="194" t="s">
        <v>142</v>
      </c>
      <c r="O391" s="466">
        <v>0</v>
      </c>
      <c r="P391" s="285">
        <v>45901</v>
      </c>
      <c r="Q391" s="285">
        <v>46022</v>
      </c>
      <c r="R391" s="288">
        <v>1</v>
      </c>
    </row>
    <row r="392" spans="1:18" hidden="1">
      <c r="A392" s="193">
        <v>2777</v>
      </c>
      <c r="B392" s="194"/>
      <c r="C392" s="193"/>
      <c r="D392" s="193"/>
      <c r="E392" s="193"/>
      <c r="F392" s="283"/>
      <c r="G392" s="193">
        <v>2</v>
      </c>
      <c r="H392" s="282">
        <v>3</v>
      </c>
      <c r="I392" s="193">
        <v>850</v>
      </c>
      <c r="J392" s="193" t="s">
        <v>390</v>
      </c>
      <c r="K392" s="193" t="s">
        <v>436</v>
      </c>
      <c r="L392" s="283">
        <v>45170</v>
      </c>
      <c r="M392" s="281"/>
      <c r="N392" s="194" t="s">
        <v>141</v>
      </c>
      <c r="O392" s="466">
        <v>0</v>
      </c>
      <c r="P392" s="285">
        <v>45901</v>
      </c>
      <c r="Q392" s="285">
        <v>46022</v>
      </c>
      <c r="R392" s="288">
        <v>1</v>
      </c>
    </row>
    <row r="393" spans="1:18" hidden="1">
      <c r="A393" s="282">
        <v>2777</v>
      </c>
      <c r="B393" s="194"/>
      <c r="C393" s="282"/>
      <c r="D393" s="282"/>
      <c r="E393" s="282"/>
      <c r="F393" s="283"/>
      <c r="G393" s="282">
        <v>1</v>
      </c>
      <c r="H393" s="282">
        <v>2</v>
      </c>
      <c r="I393" s="282">
        <v>850</v>
      </c>
      <c r="J393" s="282" t="s">
        <v>390</v>
      </c>
      <c r="K393" s="282" t="s">
        <v>436</v>
      </c>
      <c r="L393" s="283">
        <v>45292</v>
      </c>
      <c r="M393" s="281"/>
      <c r="N393" s="472" t="s">
        <v>141</v>
      </c>
      <c r="O393" s="466">
        <v>0</v>
      </c>
      <c r="P393" s="285">
        <v>45901</v>
      </c>
      <c r="Q393" s="285">
        <v>46022</v>
      </c>
      <c r="R393" s="288">
        <v>1</v>
      </c>
    </row>
    <row r="394" spans="1:18" hidden="1">
      <c r="A394" s="193">
        <v>2777</v>
      </c>
      <c r="B394" s="194"/>
      <c r="C394" s="193"/>
      <c r="D394" s="193"/>
      <c r="E394" s="193"/>
      <c r="F394" s="283"/>
      <c r="G394" s="193">
        <v>5</v>
      </c>
      <c r="H394" s="282">
        <v>6</v>
      </c>
      <c r="I394" s="193">
        <v>850</v>
      </c>
      <c r="J394" s="193" t="s">
        <v>390</v>
      </c>
      <c r="K394" s="193" t="s">
        <v>435</v>
      </c>
      <c r="L394" s="283">
        <v>44805</v>
      </c>
      <c r="M394" s="281"/>
      <c r="N394" s="194" t="s">
        <v>142</v>
      </c>
      <c r="O394" s="466">
        <v>0</v>
      </c>
      <c r="P394" s="285">
        <v>45901</v>
      </c>
      <c r="Q394" s="285">
        <v>46022</v>
      </c>
      <c r="R394" s="288">
        <v>1</v>
      </c>
    </row>
    <row r="395" spans="1:18" hidden="1">
      <c r="A395" s="193">
        <v>2777</v>
      </c>
      <c r="B395" s="194"/>
      <c r="C395" s="193"/>
      <c r="D395" s="193"/>
      <c r="E395" s="193"/>
      <c r="F395" s="283"/>
      <c r="G395" s="193">
        <v>6</v>
      </c>
      <c r="H395" s="282">
        <v>7</v>
      </c>
      <c r="I395" s="193">
        <v>850</v>
      </c>
      <c r="J395" s="193" t="s">
        <v>390</v>
      </c>
      <c r="K395" s="193" t="s">
        <v>436</v>
      </c>
      <c r="L395" s="283">
        <v>44075</v>
      </c>
      <c r="M395" s="281">
        <v>45900</v>
      </c>
      <c r="N395" s="194" t="s">
        <v>141</v>
      </c>
      <c r="O395" s="466">
        <v>0</v>
      </c>
      <c r="P395" s="285" t="s">
        <v>399</v>
      </c>
      <c r="Q395" s="285" t="s">
        <v>399</v>
      </c>
      <c r="R395" s="288">
        <v>0</v>
      </c>
    </row>
    <row r="396" spans="1:18" hidden="1">
      <c r="A396" s="193">
        <v>2777</v>
      </c>
      <c r="B396" s="194"/>
      <c r="C396" s="193"/>
      <c r="D396" s="193"/>
      <c r="E396" s="193"/>
      <c r="F396" s="283"/>
      <c r="G396" s="193">
        <v>5</v>
      </c>
      <c r="H396" s="282">
        <v>6</v>
      </c>
      <c r="I396" s="193">
        <v>850</v>
      </c>
      <c r="J396" s="193" t="s">
        <v>390</v>
      </c>
      <c r="K396" s="193" t="s">
        <v>436</v>
      </c>
      <c r="L396" s="283">
        <v>44075</v>
      </c>
      <c r="M396" s="281"/>
      <c r="N396" s="194" t="s">
        <v>141</v>
      </c>
      <c r="O396" s="466">
        <v>0</v>
      </c>
      <c r="P396" s="285">
        <v>45901</v>
      </c>
      <c r="Q396" s="285">
        <v>46022</v>
      </c>
      <c r="R396" s="288">
        <v>1</v>
      </c>
    </row>
    <row r="397" spans="1:18" hidden="1">
      <c r="A397" s="193">
        <v>2777</v>
      </c>
      <c r="B397" s="194"/>
      <c r="C397" s="193"/>
      <c r="D397" s="193"/>
      <c r="E397" s="193"/>
      <c r="F397" s="283"/>
      <c r="G397" s="193">
        <v>4</v>
      </c>
      <c r="H397" s="282">
        <v>5</v>
      </c>
      <c r="I397" s="193">
        <v>850</v>
      </c>
      <c r="J397" s="193" t="s">
        <v>390</v>
      </c>
      <c r="K397" s="193" t="s">
        <v>436</v>
      </c>
      <c r="L397" s="283">
        <v>44075</v>
      </c>
      <c r="M397" s="281"/>
      <c r="N397" s="194" t="s">
        <v>141</v>
      </c>
      <c r="O397" s="466">
        <v>0</v>
      </c>
      <c r="P397" s="285">
        <v>45901</v>
      </c>
      <c r="Q397" s="285">
        <v>46022</v>
      </c>
      <c r="R397" s="288">
        <v>1</v>
      </c>
    </row>
    <row r="398" spans="1:18" hidden="1">
      <c r="A398" s="282">
        <v>2777</v>
      </c>
      <c r="B398" s="194"/>
      <c r="C398" s="282"/>
      <c r="D398" s="282"/>
      <c r="E398" s="282"/>
      <c r="F398" s="283"/>
      <c r="G398" s="282">
        <v>0</v>
      </c>
      <c r="H398" s="282">
        <v>1</v>
      </c>
      <c r="I398" s="282">
        <v>850</v>
      </c>
      <c r="J398" s="282" t="s">
        <v>390</v>
      </c>
      <c r="K398" s="282" t="s">
        <v>436</v>
      </c>
      <c r="L398" s="283">
        <v>45607</v>
      </c>
      <c r="M398" s="284"/>
      <c r="N398" s="472" t="s">
        <v>141</v>
      </c>
      <c r="O398" s="466">
        <v>0</v>
      </c>
      <c r="P398" s="285">
        <v>45901</v>
      </c>
      <c r="Q398" s="285">
        <v>46022</v>
      </c>
      <c r="R398" s="288">
        <v>1</v>
      </c>
    </row>
    <row r="399" spans="1:18" hidden="1">
      <c r="A399" s="282">
        <v>2777</v>
      </c>
      <c r="B399" s="194"/>
      <c r="C399" s="282"/>
      <c r="D399" s="282"/>
      <c r="E399" s="282"/>
      <c r="F399" s="283"/>
      <c r="G399" s="282">
        <v>4</v>
      </c>
      <c r="H399" s="282">
        <v>5</v>
      </c>
      <c r="I399" s="282">
        <v>850</v>
      </c>
      <c r="J399" s="282" t="s">
        <v>390</v>
      </c>
      <c r="K399" s="282" t="s">
        <v>435</v>
      </c>
      <c r="L399" s="283">
        <v>45536</v>
      </c>
      <c r="M399" s="284"/>
      <c r="N399" s="472" t="s">
        <v>142</v>
      </c>
      <c r="O399" s="466">
        <v>0</v>
      </c>
      <c r="P399" s="285">
        <v>45901</v>
      </c>
      <c r="Q399" s="285">
        <v>46022</v>
      </c>
      <c r="R399" s="288">
        <v>1</v>
      </c>
    </row>
    <row r="400" spans="1:18" hidden="1">
      <c r="A400" s="193">
        <v>2777</v>
      </c>
      <c r="B400" s="194"/>
      <c r="C400" s="193"/>
      <c r="D400" s="193"/>
      <c r="E400" s="193"/>
      <c r="F400" s="283"/>
      <c r="G400" s="193">
        <v>1</v>
      </c>
      <c r="H400" s="282">
        <v>2</v>
      </c>
      <c r="I400" s="193">
        <v>850</v>
      </c>
      <c r="J400" s="193" t="s">
        <v>390</v>
      </c>
      <c r="K400" s="193" t="s">
        <v>436</v>
      </c>
      <c r="L400" s="283">
        <v>45317</v>
      </c>
      <c r="M400" s="281"/>
      <c r="N400" s="194" t="s">
        <v>141</v>
      </c>
      <c r="O400" s="466">
        <v>0</v>
      </c>
      <c r="P400" s="285">
        <v>45901</v>
      </c>
      <c r="Q400" s="285">
        <v>46022</v>
      </c>
      <c r="R400" s="288">
        <v>1</v>
      </c>
    </row>
    <row r="401" spans="1:18" hidden="1">
      <c r="A401" s="193">
        <v>2777</v>
      </c>
      <c r="B401" s="194"/>
      <c r="C401" s="193"/>
      <c r="D401" s="193"/>
      <c r="E401" s="193"/>
      <c r="F401" s="283"/>
      <c r="G401" s="193">
        <v>4</v>
      </c>
      <c r="H401" s="282">
        <v>5</v>
      </c>
      <c r="I401" s="282">
        <v>850</v>
      </c>
      <c r="J401" s="282" t="s">
        <v>390</v>
      </c>
      <c r="K401" s="193" t="s">
        <v>436</v>
      </c>
      <c r="L401" s="283">
        <v>45712</v>
      </c>
      <c r="M401" s="281"/>
      <c r="N401" s="194" t="s">
        <v>141</v>
      </c>
      <c r="O401" s="466">
        <v>0</v>
      </c>
      <c r="P401" s="285">
        <v>45901</v>
      </c>
      <c r="Q401" s="285">
        <v>46022</v>
      </c>
      <c r="R401" s="288">
        <v>1</v>
      </c>
    </row>
    <row r="402" spans="1:18" hidden="1">
      <c r="A402" s="193">
        <v>2777</v>
      </c>
      <c r="B402" s="194"/>
      <c r="C402" s="193"/>
      <c r="D402" s="193"/>
      <c r="E402" s="193"/>
      <c r="F402" s="283"/>
      <c r="G402" s="193">
        <v>2</v>
      </c>
      <c r="H402" s="282">
        <v>3</v>
      </c>
      <c r="I402" s="282">
        <v>850</v>
      </c>
      <c r="J402" s="282" t="s">
        <v>390</v>
      </c>
      <c r="K402" s="193" t="s">
        <v>436</v>
      </c>
      <c r="L402" s="283">
        <v>45170</v>
      </c>
      <c r="M402" s="281"/>
      <c r="N402" s="195" t="s">
        <v>141</v>
      </c>
      <c r="O402" s="466">
        <v>0</v>
      </c>
      <c r="P402" s="285">
        <v>45901</v>
      </c>
      <c r="Q402" s="285">
        <v>46022</v>
      </c>
      <c r="R402" s="288">
        <v>1</v>
      </c>
    </row>
    <row r="403" spans="1:18" hidden="1">
      <c r="A403" s="282">
        <v>2777</v>
      </c>
      <c r="B403" s="194"/>
      <c r="C403" s="282"/>
      <c r="D403" s="282"/>
      <c r="E403" s="282"/>
      <c r="F403" s="283"/>
      <c r="G403" s="282">
        <v>5</v>
      </c>
      <c r="H403" s="282">
        <v>6</v>
      </c>
      <c r="I403" s="282">
        <v>850</v>
      </c>
      <c r="J403" s="282" t="s">
        <v>390</v>
      </c>
      <c r="K403" s="282" t="s">
        <v>436</v>
      </c>
      <c r="L403" s="283">
        <v>44075</v>
      </c>
      <c r="M403" s="281"/>
      <c r="N403" s="287" t="s">
        <v>141</v>
      </c>
      <c r="O403" s="466">
        <v>0</v>
      </c>
      <c r="P403" s="285">
        <v>45901</v>
      </c>
      <c r="Q403" s="285">
        <v>46022</v>
      </c>
      <c r="R403" s="288">
        <v>1</v>
      </c>
    </row>
    <row r="404" spans="1:18" hidden="1">
      <c r="A404" s="282">
        <v>2777</v>
      </c>
      <c r="B404" s="194"/>
      <c r="C404" s="282"/>
      <c r="D404" s="282"/>
      <c r="E404" s="282"/>
      <c r="F404" s="283"/>
      <c r="G404" s="282">
        <v>2</v>
      </c>
      <c r="H404" s="282">
        <v>3</v>
      </c>
      <c r="I404" s="282">
        <v>850</v>
      </c>
      <c r="J404" s="282" t="s">
        <v>390</v>
      </c>
      <c r="K404" s="282" t="s">
        <v>436</v>
      </c>
      <c r="L404" s="283">
        <v>45205</v>
      </c>
      <c r="M404" s="284"/>
      <c r="N404" s="287" t="s">
        <v>141</v>
      </c>
      <c r="O404" s="466">
        <v>0</v>
      </c>
      <c r="P404" s="285">
        <v>45901</v>
      </c>
      <c r="Q404" s="285">
        <v>46022</v>
      </c>
      <c r="R404" s="288">
        <v>1</v>
      </c>
    </row>
    <row r="405" spans="1:18" hidden="1">
      <c r="A405" s="282">
        <v>2777</v>
      </c>
      <c r="B405" s="194"/>
      <c r="C405" s="282"/>
      <c r="D405" s="282"/>
      <c r="E405" s="282"/>
      <c r="F405" s="283"/>
      <c r="G405" s="282">
        <v>2</v>
      </c>
      <c r="H405" s="282">
        <v>3</v>
      </c>
      <c r="I405" s="282">
        <v>850</v>
      </c>
      <c r="J405" s="282" t="s">
        <v>390</v>
      </c>
      <c r="K405" s="282" t="s">
        <v>436</v>
      </c>
      <c r="L405" s="283">
        <v>44805</v>
      </c>
      <c r="M405" s="284"/>
      <c r="N405" s="287" t="s">
        <v>141</v>
      </c>
      <c r="O405" s="466">
        <v>0</v>
      </c>
      <c r="P405" s="285">
        <v>45901</v>
      </c>
      <c r="Q405" s="285">
        <v>46022</v>
      </c>
      <c r="R405" s="288">
        <v>1</v>
      </c>
    </row>
    <row r="406" spans="1:18" hidden="1">
      <c r="A406" s="282">
        <v>2777</v>
      </c>
      <c r="B406" s="194"/>
      <c r="C406" s="282"/>
      <c r="D406" s="282"/>
      <c r="E406" s="282"/>
      <c r="F406" s="283"/>
      <c r="G406" s="282">
        <v>1</v>
      </c>
      <c r="H406" s="282">
        <v>2</v>
      </c>
      <c r="I406" s="282">
        <v>850</v>
      </c>
      <c r="J406" s="282" t="s">
        <v>390</v>
      </c>
      <c r="K406" s="193" t="s">
        <v>436</v>
      </c>
      <c r="L406" s="283">
        <v>45783</v>
      </c>
      <c r="M406" s="284"/>
      <c r="N406" s="287" t="s">
        <v>141</v>
      </c>
      <c r="O406" s="466">
        <v>0</v>
      </c>
      <c r="P406" s="285">
        <v>45901</v>
      </c>
      <c r="Q406" s="285">
        <v>46022</v>
      </c>
      <c r="R406" s="288">
        <v>1</v>
      </c>
    </row>
    <row r="407" spans="1:18" hidden="1">
      <c r="A407" s="193">
        <v>2777</v>
      </c>
      <c r="B407" s="194"/>
      <c r="C407" s="193"/>
      <c r="D407" s="193"/>
      <c r="E407" s="193"/>
      <c r="F407" s="283"/>
      <c r="G407" s="193">
        <v>1</v>
      </c>
      <c r="H407" s="282">
        <v>2</v>
      </c>
      <c r="I407" s="193">
        <v>850</v>
      </c>
      <c r="J407" s="193" t="s">
        <v>390</v>
      </c>
      <c r="K407" s="282" t="s">
        <v>436</v>
      </c>
      <c r="L407" s="283">
        <v>45170</v>
      </c>
      <c r="M407" s="281"/>
      <c r="N407" s="195" t="s">
        <v>141</v>
      </c>
      <c r="O407" s="466">
        <v>0</v>
      </c>
      <c r="P407" s="285">
        <v>45901</v>
      </c>
      <c r="Q407" s="285">
        <v>46022</v>
      </c>
      <c r="R407" s="288">
        <v>1</v>
      </c>
    </row>
    <row r="408" spans="1:18" hidden="1">
      <c r="A408" s="193">
        <v>2777</v>
      </c>
      <c r="B408" s="194"/>
      <c r="C408" s="193"/>
      <c r="D408" s="193"/>
      <c r="E408" s="193"/>
      <c r="F408" s="283"/>
      <c r="G408" s="193">
        <v>4</v>
      </c>
      <c r="H408" s="282">
        <v>5</v>
      </c>
      <c r="I408" s="193">
        <v>850</v>
      </c>
      <c r="J408" s="193" t="s">
        <v>390</v>
      </c>
      <c r="K408" s="282" t="s">
        <v>436</v>
      </c>
      <c r="L408" s="283">
        <v>45600</v>
      </c>
      <c r="M408" s="281"/>
      <c r="N408" s="195" t="s">
        <v>141</v>
      </c>
      <c r="O408" s="466">
        <v>0</v>
      </c>
      <c r="P408" s="285">
        <v>45901</v>
      </c>
      <c r="Q408" s="285">
        <v>46022</v>
      </c>
      <c r="R408" s="288">
        <v>1</v>
      </c>
    </row>
    <row r="409" spans="1:18" hidden="1">
      <c r="A409" s="282">
        <v>2777</v>
      </c>
      <c r="B409" s="194"/>
      <c r="C409" s="479"/>
      <c r="D409" s="479"/>
      <c r="E409" s="479"/>
      <c r="F409" s="480"/>
      <c r="G409" s="282">
        <v>4</v>
      </c>
      <c r="H409" s="282">
        <v>5</v>
      </c>
      <c r="I409" s="282">
        <v>850</v>
      </c>
      <c r="J409" s="282" t="s">
        <v>390</v>
      </c>
      <c r="K409" s="282" t="s">
        <v>436</v>
      </c>
      <c r="L409" s="283">
        <v>45170</v>
      </c>
      <c r="M409" s="284"/>
      <c r="N409" s="194" t="s">
        <v>141</v>
      </c>
      <c r="O409" s="466">
        <v>0</v>
      </c>
      <c r="P409" s="285">
        <v>45901</v>
      </c>
      <c r="Q409" s="285">
        <v>46022</v>
      </c>
      <c r="R409" s="288">
        <v>1</v>
      </c>
    </row>
    <row r="410" spans="1:18" hidden="1">
      <c r="A410" s="282">
        <v>2777</v>
      </c>
      <c r="B410" s="194"/>
      <c r="C410" s="282"/>
      <c r="D410" s="282"/>
      <c r="E410" s="282"/>
      <c r="F410" s="283"/>
      <c r="G410" s="282">
        <v>5</v>
      </c>
      <c r="H410" s="282">
        <v>6</v>
      </c>
      <c r="I410" s="282">
        <v>850</v>
      </c>
      <c r="J410" s="282" t="s">
        <v>390</v>
      </c>
      <c r="K410" s="282" t="s">
        <v>435</v>
      </c>
      <c r="L410" s="283">
        <v>44805</v>
      </c>
      <c r="M410" s="284"/>
      <c r="N410" s="194" t="s">
        <v>142</v>
      </c>
      <c r="O410" s="466">
        <v>0</v>
      </c>
      <c r="P410" s="285">
        <v>45901</v>
      </c>
      <c r="Q410" s="285">
        <v>46022</v>
      </c>
      <c r="R410" s="288">
        <v>1</v>
      </c>
    </row>
    <row r="411" spans="1:18" hidden="1">
      <c r="A411" s="282">
        <v>3101</v>
      </c>
      <c r="B411" s="194"/>
      <c r="C411" s="282"/>
      <c r="D411" s="282"/>
      <c r="E411" s="282"/>
      <c r="F411" s="283"/>
      <c r="G411" s="282">
        <v>5</v>
      </c>
      <c r="H411" s="282">
        <v>6</v>
      </c>
      <c r="I411" s="282">
        <v>850</v>
      </c>
      <c r="J411" s="282" t="s">
        <v>390</v>
      </c>
      <c r="K411" s="282" t="s">
        <v>437</v>
      </c>
      <c r="L411" s="283">
        <v>44805</v>
      </c>
      <c r="M411" s="284"/>
      <c r="N411" s="195" t="s">
        <v>215</v>
      </c>
      <c r="O411" s="466" t="s">
        <v>215</v>
      </c>
      <c r="P411" s="285">
        <v>45901</v>
      </c>
      <c r="Q411" s="285">
        <v>46022</v>
      </c>
      <c r="R411" s="288">
        <v>1</v>
      </c>
    </row>
    <row r="412" spans="1:18" hidden="1">
      <c r="A412" s="282">
        <v>3101</v>
      </c>
      <c r="B412" s="194"/>
      <c r="C412" s="282"/>
      <c r="D412" s="282"/>
      <c r="E412" s="282"/>
      <c r="F412" s="283"/>
      <c r="G412" s="282">
        <v>4</v>
      </c>
      <c r="H412" s="282">
        <v>5</v>
      </c>
      <c r="I412" s="282">
        <v>850</v>
      </c>
      <c r="J412" s="282" t="s">
        <v>390</v>
      </c>
      <c r="K412" s="282" t="s">
        <v>437</v>
      </c>
      <c r="L412" s="283">
        <v>44075</v>
      </c>
      <c r="M412" s="284">
        <v>45800</v>
      </c>
      <c r="N412" s="194" t="s">
        <v>215</v>
      </c>
      <c r="O412" s="466" t="s">
        <v>215</v>
      </c>
      <c r="P412" s="285" t="s">
        <v>399</v>
      </c>
      <c r="Q412" s="285" t="s">
        <v>399</v>
      </c>
      <c r="R412" s="288">
        <v>0</v>
      </c>
    </row>
    <row r="413" spans="1:18" hidden="1">
      <c r="A413" s="193">
        <v>3101</v>
      </c>
      <c r="B413" s="194"/>
      <c r="C413" s="193"/>
      <c r="D413" s="193"/>
      <c r="E413" s="193"/>
      <c r="F413" s="283"/>
      <c r="G413" s="193">
        <v>3</v>
      </c>
      <c r="H413" s="282">
        <v>4</v>
      </c>
      <c r="I413" s="193">
        <v>850</v>
      </c>
      <c r="J413" s="193" t="s">
        <v>390</v>
      </c>
      <c r="K413" s="193" t="s">
        <v>437</v>
      </c>
      <c r="L413" s="283">
        <v>44440</v>
      </c>
      <c r="M413" s="281"/>
      <c r="N413" s="194" t="s">
        <v>215</v>
      </c>
      <c r="O413" s="466" t="s">
        <v>215</v>
      </c>
      <c r="P413" s="285">
        <v>45901</v>
      </c>
      <c r="Q413" s="285">
        <v>46022</v>
      </c>
      <c r="R413" s="288">
        <v>1</v>
      </c>
    </row>
    <row r="414" spans="1:18" hidden="1">
      <c r="A414" s="282">
        <v>3101</v>
      </c>
      <c r="B414" s="194"/>
      <c r="C414" s="282"/>
      <c r="D414" s="282"/>
      <c r="E414" s="282"/>
      <c r="F414" s="283"/>
      <c r="G414" s="282">
        <v>2</v>
      </c>
      <c r="H414" s="282">
        <v>3</v>
      </c>
      <c r="I414" s="282">
        <v>850</v>
      </c>
      <c r="J414" s="282" t="s">
        <v>390</v>
      </c>
      <c r="K414" s="282" t="s">
        <v>437</v>
      </c>
      <c r="L414" s="283">
        <v>44805</v>
      </c>
      <c r="M414" s="284"/>
      <c r="N414" s="195" t="s">
        <v>215</v>
      </c>
      <c r="O414" s="466" t="s">
        <v>215</v>
      </c>
      <c r="P414" s="285">
        <v>45901</v>
      </c>
      <c r="Q414" s="285">
        <v>46022</v>
      </c>
      <c r="R414" s="288">
        <v>1</v>
      </c>
    </row>
    <row r="415" spans="1:18" hidden="1">
      <c r="A415" s="193">
        <v>3101</v>
      </c>
      <c r="B415" s="194"/>
      <c r="C415" s="479"/>
      <c r="D415" s="479"/>
      <c r="E415" s="479"/>
      <c r="F415" s="480"/>
      <c r="G415" s="479">
        <v>4</v>
      </c>
      <c r="H415" s="282">
        <v>5</v>
      </c>
      <c r="I415" s="193">
        <v>850</v>
      </c>
      <c r="J415" s="193" t="s">
        <v>390</v>
      </c>
      <c r="K415" s="193" t="s">
        <v>437</v>
      </c>
      <c r="L415" s="283">
        <v>45698</v>
      </c>
      <c r="M415" s="281"/>
      <c r="N415" s="195" t="s">
        <v>215</v>
      </c>
      <c r="O415" s="466" t="s">
        <v>215</v>
      </c>
      <c r="P415" s="285">
        <v>45901</v>
      </c>
      <c r="Q415" s="285">
        <v>46022</v>
      </c>
      <c r="R415" s="288">
        <v>1</v>
      </c>
    </row>
    <row r="416" spans="1:18" hidden="1">
      <c r="A416" s="282">
        <v>3101</v>
      </c>
      <c r="B416" s="194"/>
      <c r="C416" s="282"/>
      <c r="D416" s="282"/>
      <c r="E416" s="282"/>
      <c r="F416" s="283"/>
      <c r="G416" s="193">
        <v>6</v>
      </c>
      <c r="H416" s="282">
        <v>7</v>
      </c>
      <c r="I416" s="282">
        <v>850</v>
      </c>
      <c r="J416" s="282" t="s">
        <v>390</v>
      </c>
      <c r="K416" s="282" t="s">
        <v>437</v>
      </c>
      <c r="L416" s="281">
        <v>44652</v>
      </c>
      <c r="M416" s="281">
        <v>45900</v>
      </c>
      <c r="N416" s="195" t="s">
        <v>215</v>
      </c>
      <c r="O416" s="466" t="s">
        <v>215</v>
      </c>
      <c r="P416" s="285" t="s">
        <v>399</v>
      </c>
      <c r="Q416" s="285" t="s">
        <v>399</v>
      </c>
      <c r="R416" s="288">
        <v>0</v>
      </c>
    </row>
    <row r="417" spans="1:18" hidden="1">
      <c r="A417" s="282">
        <v>3101</v>
      </c>
      <c r="B417" s="194"/>
      <c r="C417" s="282"/>
      <c r="D417" s="282"/>
      <c r="E417" s="282"/>
      <c r="F417" s="283"/>
      <c r="G417" s="193">
        <v>2</v>
      </c>
      <c r="H417" s="282">
        <v>3</v>
      </c>
      <c r="I417" s="282">
        <v>850</v>
      </c>
      <c r="J417" s="282" t="s">
        <v>390</v>
      </c>
      <c r="K417" s="282" t="s">
        <v>437</v>
      </c>
      <c r="L417" s="281">
        <v>44805</v>
      </c>
      <c r="M417" s="281"/>
      <c r="N417" s="195" t="s">
        <v>215</v>
      </c>
      <c r="O417" s="466" t="s">
        <v>215</v>
      </c>
      <c r="P417" s="285">
        <v>45901</v>
      </c>
      <c r="Q417" s="285">
        <v>46022</v>
      </c>
      <c r="R417" s="288">
        <v>1</v>
      </c>
    </row>
    <row r="418" spans="1:18" hidden="1">
      <c r="A418" s="282">
        <v>3101</v>
      </c>
      <c r="B418" s="194"/>
      <c r="C418" s="282"/>
      <c r="D418" s="282"/>
      <c r="E418" s="282"/>
      <c r="F418" s="283"/>
      <c r="G418" s="282">
        <v>4</v>
      </c>
      <c r="H418" s="282">
        <v>5</v>
      </c>
      <c r="I418" s="282">
        <v>850</v>
      </c>
      <c r="J418" s="282" t="s">
        <v>390</v>
      </c>
      <c r="K418" s="282" t="s">
        <v>437</v>
      </c>
      <c r="L418" s="283">
        <v>44075</v>
      </c>
      <c r="M418" s="284"/>
      <c r="N418" s="195" t="s">
        <v>215</v>
      </c>
      <c r="O418" s="466">
        <v>0</v>
      </c>
      <c r="P418" s="285">
        <v>45901</v>
      </c>
      <c r="Q418" s="285">
        <v>46022</v>
      </c>
      <c r="R418" s="288">
        <v>1</v>
      </c>
    </row>
    <row r="419" spans="1:18" hidden="1">
      <c r="A419" s="282">
        <v>3101</v>
      </c>
      <c r="B419" s="194"/>
      <c r="C419" s="282"/>
      <c r="D419" s="282"/>
      <c r="E419" s="282"/>
      <c r="F419" s="283"/>
      <c r="G419" s="282">
        <v>5</v>
      </c>
      <c r="H419" s="282">
        <v>6</v>
      </c>
      <c r="I419" s="282">
        <v>850</v>
      </c>
      <c r="J419" s="282" t="s">
        <v>390</v>
      </c>
      <c r="K419" s="282" t="s">
        <v>437</v>
      </c>
      <c r="L419" s="283">
        <v>43709</v>
      </c>
      <c r="M419" s="284"/>
      <c r="N419" s="195" t="s">
        <v>215</v>
      </c>
      <c r="O419" s="466" t="s">
        <v>215</v>
      </c>
      <c r="P419" s="285">
        <v>45901</v>
      </c>
      <c r="Q419" s="285">
        <v>46022</v>
      </c>
      <c r="R419" s="288">
        <v>1</v>
      </c>
    </row>
    <row r="420" spans="1:18" hidden="1">
      <c r="A420" s="282">
        <v>3124</v>
      </c>
      <c r="B420" s="194"/>
      <c r="C420" s="282"/>
      <c r="D420" s="282"/>
      <c r="E420" s="282"/>
      <c r="F420" s="283"/>
      <c r="G420" s="193">
        <v>2</v>
      </c>
      <c r="H420" s="282">
        <v>3</v>
      </c>
      <c r="I420" s="282">
        <v>850</v>
      </c>
      <c r="J420" s="282" t="s">
        <v>390</v>
      </c>
      <c r="K420" s="282" t="s">
        <v>438</v>
      </c>
      <c r="L420" s="283">
        <v>45777</v>
      </c>
      <c r="M420" s="284"/>
      <c r="N420" s="195" t="s">
        <v>130</v>
      </c>
      <c r="O420" s="466">
        <v>0</v>
      </c>
      <c r="P420" s="285">
        <v>45901</v>
      </c>
      <c r="Q420" s="285">
        <v>46022</v>
      </c>
      <c r="R420" s="288">
        <v>1</v>
      </c>
    </row>
    <row r="421" spans="1:18" hidden="1">
      <c r="A421" s="193">
        <v>3124</v>
      </c>
      <c r="B421" s="194"/>
      <c r="C421" s="193"/>
      <c r="D421" s="193"/>
      <c r="E421" s="193"/>
      <c r="F421" s="283"/>
      <c r="G421" s="193">
        <v>1</v>
      </c>
      <c r="H421" s="282">
        <v>2</v>
      </c>
      <c r="I421" s="193">
        <v>850</v>
      </c>
      <c r="J421" s="193" t="s">
        <v>390</v>
      </c>
      <c r="K421" s="193" t="s">
        <v>438</v>
      </c>
      <c r="L421" s="283">
        <v>45901</v>
      </c>
      <c r="M421" s="281"/>
      <c r="N421" s="195" t="s">
        <v>130</v>
      </c>
      <c r="O421" s="466">
        <v>0</v>
      </c>
      <c r="P421" s="285">
        <v>45901</v>
      </c>
      <c r="Q421" s="285">
        <v>46022</v>
      </c>
      <c r="R421" s="288">
        <v>1</v>
      </c>
    </row>
    <row r="422" spans="1:18" hidden="1">
      <c r="A422" s="193">
        <v>3124</v>
      </c>
      <c r="B422" s="194"/>
      <c r="C422" s="193"/>
      <c r="D422" s="193"/>
      <c r="E422" s="193"/>
      <c r="F422" s="283"/>
      <c r="G422" s="193">
        <v>5</v>
      </c>
      <c r="H422" s="282">
        <v>6</v>
      </c>
      <c r="I422" s="193">
        <v>850</v>
      </c>
      <c r="J422" s="193" t="s">
        <v>390</v>
      </c>
      <c r="K422" s="193" t="s">
        <v>438</v>
      </c>
      <c r="L422" s="283">
        <v>44805</v>
      </c>
      <c r="M422" s="281"/>
      <c r="N422" s="195" t="s">
        <v>130</v>
      </c>
      <c r="O422" s="466">
        <v>0</v>
      </c>
      <c r="P422" s="285">
        <v>45901</v>
      </c>
      <c r="Q422" s="285">
        <v>46022</v>
      </c>
      <c r="R422" s="288">
        <v>1</v>
      </c>
    </row>
    <row r="423" spans="1:18" hidden="1">
      <c r="A423" s="193">
        <v>3124</v>
      </c>
      <c r="B423" s="194"/>
      <c r="C423" s="193"/>
      <c r="D423" s="193"/>
      <c r="E423" s="193"/>
      <c r="F423" s="283"/>
      <c r="G423" s="193">
        <v>1</v>
      </c>
      <c r="H423" s="282">
        <v>2</v>
      </c>
      <c r="I423" s="193">
        <v>850</v>
      </c>
      <c r="J423" s="193" t="s">
        <v>390</v>
      </c>
      <c r="K423" s="193" t="s">
        <v>438</v>
      </c>
      <c r="L423" s="283">
        <v>45901</v>
      </c>
      <c r="M423" s="281"/>
      <c r="N423" s="195" t="s">
        <v>130</v>
      </c>
      <c r="O423" s="466">
        <v>0</v>
      </c>
      <c r="P423" s="285">
        <v>45901</v>
      </c>
      <c r="Q423" s="285">
        <v>46022</v>
      </c>
      <c r="R423" s="288">
        <v>1</v>
      </c>
    </row>
    <row r="424" spans="1:18" hidden="1">
      <c r="A424" s="193">
        <v>3124</v>
      </c>
      <c r="B424" s="194"/>
      <c r="C424" s="479"/>
      <c r="D424" s="479"/>
      <c r="E424" s="479"/>
      <c r="F424" s="480"/>
      <c r="G424" s="479">
        <v>3</v>
      </c>
      <c r="H424" s="282">
        <v>4</v>
      </c>
      <c r="I424" s="193">
        <v>850</v>
      </c>
      <c r="J424" s="193" t="s">
        <v>390</v>
      </c>
      <c r="K424" s="193" t="s">
        <v>438</v>
      </c>
      <c r="L424" s="283">
        <v>45536</v>
      </c>
      <c r="M424" s="281"/>
      <c r="N424" s="195" t="s">
        <v>130</v>
      </c>
      <c r="O424" s="466">
        <v>0</v>
      </c>
      <c r="P424" s="285">
        <v>45901</v>
      </c>
      <c r="Q424" s="285">
        <v>46022</v>
      </c>
      <c r="R424" s="288">
        <v>1</v>
      </c>
    </row>
    <row r="425" spans="1:18" hidden="1">
      <c r="A425" s="193">
        <v>3124</v>
      </c>
      <c r="B425" s="194"/>
      <c r="C425" s="479"/>
      <c r="D425" s="479"/>
      <c r="E425" s="479"/>
      <c r="F425" s="480"/>
      <c r="G425" s="479">
        <v>4</v>
      </c>
      <c r="H425" s="282">
        <v>5</v>
      </c>
      <c r="I425" s="193">
        <v>850</v>
      </c>
      <c r="J425" s="193" t="s">
        <v>390</v>
      </c>
      <c r="K425" s="193" t="s">
        <v>438</v>
      </c>
      <c r="L425" s="283">
        <v>45170</v>
      </c>
      <c r="M425" s="281"/>
      <c r="N425" s="195" t="s">
        <v>130</v>
      </c>
      <c r="O425" s="466">
        <v>0</v>
      </c>
      <c r="P425" s="285">
        <v>45901</v>
      </c>
      <c r="Q425" s="285">
        <v>46022</v>
      </c>
      <c r="R425" s="288">
        <v>1</v>
      </c>
    </row>
    <row r="426" spans="1:18" hidden="1">
      <c r="A426" s="282">
        <v>3124</v>
      </c>
      <c r="B426" s="194"/>
      <c r="C426" s="282"/>
      <c r="D426" s="282"/>
      <c r="E426" s="282"/>
      <c r="F426" s="283"/>
      <c r="G426" s="193">
        <v>4</v>
      </c>
      <c r="H426" s="282">
        <v>5</v>
      </c>
      <c r="I426" s="282">
        <v>850</v>
      </c>
      <c r="J426" s="282" t="s">
        <v>390</v>
      </c>
      <c r="K426" s="282" t="s">
        <v>438</v>
      </c>
      <c r="L426" s="283">
        <v>45462</v>
      </c>
      <c r="M426" s="284"/>
      <c r="N426" s="195" t="s">
        <v>130</v>
      </c>
      <c r="O426" s="466">
        <v>0</v>
      </c>
      <c r="P426" s="285">
        <v>45901</v>
      </c>
      <c r="Q426" s="285">
        <v>46022</v>
      </c>
      <c r="R426" s="288">
        <v>1</v>
      </c>
    </row>
    <row r="427" spans="1:18" hidden="1">
      <c r="A427" s="282">
        <v>3124</v>
      </c>
      <c r="B427" s="194"/>
      <c r="C427" s="282"/>
      <c r="D427" s="282"/>
      <c r="E427" s="282"/>
      <c r="F427" s="283"/>
      <c r="G427" s="193">
        <v>6</v>
      </c>
      <c r="H427" s="282">
        <v>7</v>
      </c>
      <c r="I427" s="282">
        <v>850</v>
      </c>
      <c r="J427" s="282" t="s">
        <v>390</v>
      </c>
      <c r="K427" s="282" t="s">
        <v>438</v>
      </c>
      <c r="L427" s="281">
        <v>45033</v>
      </c>
      <c r="M427" s="281">
        <v>45900</v>
      </c>
      <c r="N427" s="195" t="s">
        <v>130</v>
      </c>
      <c r="O427" s="466">
        <v>0</v>
      </c>
      <c r="P427" s="285" t="s">
        <v>399</v>
      </c>
      <c r="Q427" s="285" t="s">
        <v>399</v>
      </c>
      <c r="R427" s="288">
        <v>0</v>
      </c>
    </row>
    <row r="428" spans="1:18" hidden="1">
      <c r="A428" s="193">
        <v>3124</v>
      </c>
      <c r="B428" s="194"/>
      <c r="C428" s="282"/>
      <c r="D428" s="282"/>
      <c r="E428" s="282"/>
      <c r="F428" s="283"/>
      <c r="G428" s="193">
        <v>3</v>
      </c>
      <c r="H428" s="282">
        <v>4</v>
      </c>
      <c r="I428" s="282">
        <v>850</v>
      </c>
      <c r="J428" s="282" t="s">
        <v>390</v>
      </c>
      <c r="K428" s="282" t="s">
        <v>438</v>
      </c>
      <c r="L428" s="283">
        <v>45536</v>
      </c>
      <c r="M428" s="284"/>
      <c r="N428" s="195" t="s">
        <v>130</v>
      </c>
      <c r="O428" s="466">
        <v>0</v>
      </c>
      <c r="P428" s="285">
        <v>45901</v>
      </c>
      <c r="Q428" s="285">
        <v>46022</v>
      </c>
      <c r="R428" s="288">
        <v>1</v>
      </c>
    </row>
    <row r="429" spans="1:18" hidden="1">
      <c r="A429" s="193">
        <v>3124</v>
      </c>
      <c r="B429" s="194"/>
      <c r="C429" s="282"/>
      <c r="D429" s="282"/>
      <c r="E429" s="284"/>
      <c r="F429" s="283"/>
      <c r="G429" s="193">
        <v>3</v>
      </c>
      <c r="H429" s="282">
        <v>4</v>
      </c>
      <c r="I429" s="282">
        <v>850</v>
      </c>
      <c r="J429" s="282" t="s">
        <v>390</v>
      </c>
      <c r="K429" s="282" t="s">
        <v>438</v>
      </c>
      <c r="L429" s="283">
        <v>45536</v>
      </c>
      <c r="M429" s="284"/>
      <c r="N429" s="195" t="s">
        <v>130</v>
      </c>
      <c r="O429" s="466">
        <v>0</v>
      </c>
      <c r="P429" s="285">
        <v>45901</v>
      </c>
      <c r="Q429" s="285">
        <v>46022</v>
      </c>
      <c r="R429" s="288">
        <v>1</v>
      </c>
    </row>
    <row r="430" spans="1:18" hidden="1">
      <c r="A430" s="193">
        <v>3124</v>
      </c>
      <c r="B430" s="194"/>
      <c r="C430" s="282"/>
      <c r="D430" s="282"/>
      <c r="E430" s="282"/>
      <c r="F430" s="283"/>
      <c r="G430" s="193">
        <v>3</v>
      </c>
      <c r="H430" s="282">
        <v>4</v>
      </c>
      <c r="I430" s="282">
        <v>850</v>
      </c>
      <c r="J430" s="282" t="s">
        <v>390</v>
      </c>
      <c r="K430" s="282" t="s">
        <v>438</v>
      </c>
      <c r="L430" s="283">
        <v>45536</v>
      </c>
      <c r="M430" s="284"/>
      <c r="N430" s="195" t="s">
        <v>130</v>
      </c>
      <c r="O430" s="466">
        <v>0</v>
      </c>
      <c r="P430" s="285">
        <v>45901</v>
      </c>
      <c r="Q430" s="285">
        <v>46022</v>
      </c>
      <c r="R430" s="288">
        <v>1</v>
      </c>
    </row>
    <row r="431" spans="1:18" hidden="1">
      <c r="A431" s="193">
        <v>3124</v>
      </c>
      <c r="B431" s="194"/>
      <c r="C431" s="282"/>
      <c r="D431" s="282"/>
      <c r="E431" s="282"/>
      <c r="F431" s="283"/>
      <c r="G431" s="193">
        <v>2</v>
      </c>
      <c r="H431" s="282">
        <v>3</v>
      </c>
      <c r="I431" s="282">
        <v>850</v>
      </c>
      <c r="J431" s="282" t="s">
        <v>390</v>
      </c>
      <c r="K431" s="282" t="s">
        <v>438</v>
      </c>
      <c r="L431" s="283">
        <v>45901</v>
      </c>
      <c r="M431" s="284"/>
      <c r="N431" s="195" t="s">
        <v>130</v>
      </c>
      <c r="O431" s="466">
        <v>0</v>
      </c>
      <c r="P431" s="285">
        <v>45901</v>
      </c>
      <c r="Q431" s="285">
        <v>46022</v>
      </c>
      <c r="R431" s="288">
        <v>1</v>
      </c>
    </row>
    <row r="432" spans="1:18" hidden="1">
      <c r="A432" s="193">
        <v>3404</v>
      </c>
      <c r="B432" s="194"/>
      <c r="C432" s="282"/>
      <c r="D432" s="282"/>
      <c r="E432" s="282"/>
      <c r="F432" s="283"/>
      <c r="G432" s="193">
        <v>-1</v>
      </c>
      <c r="H432" s="282">
        <v>0</v>
      </c>
      <c r="I432" s="282">
        <v>850</v>
      </c>
      <c r="J432" s="282" t="s">
        <v>390</v>
      </c>
      <c r="K432" s="282" t="s">
        <v>439</v>
      </c>
      <c r="L432" s="283">
        <v>45901</v>
      </c>
      <c r="M432" s="284"/>
      <c r="N432" s="194" t="s">
        <v>215</v>
      </c>
      <c r="O432" s="466">
        <v>0</v>
      </c>
      <c r="P432" s="285">
        <v>45901</v>
      </c>
      <c r="Q432" s="285">
        <v>46022</v>
      </c>
      <c r="R432" s="288">
        <v>1</v>
      </c>
    </row>
    <row r="433" spans="1:18" hidden="1">
      <c r="A433" s="193">
        <v>3404</v>
      </c>
      <c r="B433" s="194"/>
      <c r="C433" s="479"/>
      <c r="D433" s="479"/>
      <c r="E433" s="479"/>
      <c r="F433" s="480"/>
      <c r="G433" s="282">
        <v>5</v>
      </c>
      <c r="H433" s="282">
        <v>6</v>
      </c>
      <c r="I433" s="193">
        <v>850</v>
      </c>
      <c r="J433" s="193" t="s">
        <v>390</v>
      </c>
      <c r="K433" s="282" t="s">
        <v>439</v>
      </c>
      <c r="L433" s="283">
        <v>45536</v>
      </c>
      <c r="M433" s="281"/>
      <c r="N433" s="195" t="s">
        <v>215</v>
      </c>
      <c r="O433" s="466" t="s">
        <v>215</v>
      </c>
      <c r="P433" s="285">
        <v>45901</v>
      </c>
      <c r="Q433" s="285">
        <v>46022</v>
      </c>
      <c r="R433" s="288">
        <v>1</v>
      </c>
    </row>
    <row r="434" spans="1:18" hidden="1">
      <c r="A434" s="193">
        <v>3404</v>
      </c>
      <c r="B434" s="194"/>
      <c r="C434" s="479"/>
      <c r="D434" s="479"/>
      <c r="E434" s="479"/>
      <c r="F434" s="480"/>
      <c r="G434" s="282">
        <v>1</v>
      </c>
      <c r="H434" s="282">
        <v>2</v>
      </c>
      <c r="I434" s="193">
        <v>850</v>
      </c>
      <c r="J434" s="193" t="s">
        <v>390</v>
      </c>
      <c r="K434" s="282" t="s">
        <v>439</v>
      </c>
      <c r="L434" s="283">
        <v>45170</v>
      </c>
      <c r="M434" s="281"/>
      <c r="N434" s="194" t="s">
        <v>215</v>
      </c>
      <c r="O434" s="466" t="s">
        <v>215</v>
      </c>
      <c r="P434" s="285">
        <v>45901</v>
      </c>
      <c r="Q434" s="285">
        <v>46022</v>
      </c>
      <c r="R434" s="288">
        <v>1</v>
      </c>
    </row>
    <row r="435" spans="1:18" hidden="1">
      <c r="A435" s="282">
        <v>3404</v>
      </c>
      <c r="B435" s="194"/>
      <c r="C435" s="282"/>
      <c r="D435" s="282"/>
      <c r="E435" s="282"/>
      <c r="F435" s="283"/>
      <c r="G435" s="282">
        <v>3</v>
      </c>
      <c r="H435" s="282">
        <v>4</v>
      </c>
      <c r="I435" s="282">
        <v>850</v>
      </c>
      <c r="J435" s="282" t="s">
        <v>390</v>
      </c>
      <c r="K435" s="193" t="s">
        <v>439</v>
      </c>
      <c r="L435" s="283">
        <v>45170</v>
      </c>
      <c r="M435" s="281"/>
      <c r="N435" s="470" t="s">
        <v>215</v>
      </c>
      <c r="O435" s="466" t="s">
        <v>215</v>
      </c>
      <c r="P435" s="285">
        <v>45901</v>
      </c>
      <c r="Q435" s="285">
        <v>46022</v>
      </c>
      <c r="R435" s="288">
        <v>1</v>
      </c>
    </row>
    <row r="436" spans="1:18" hidden="1">
      <c r="A436" s="282">
        <v>3665</v>
      </c>
      <c r="B436" s="194"/>
      <c r="C436" s="282"/>
      <c r="D436" s="282"/>
      <c r="E436" s="282"/>
      <c r="F436" s="283"/>
      <c r="G436" s="282">
        <v>6</v>
      </c>
      <c r="H436" s="282">
        <v>7</v>
      </c>
      <c r="I436" s="282">
        <v>850</v>
      </c>
      <c r="J436" s="282" t="s">
        <v>390</v>
      </c>
      <c r="K436" s="193" t="s">
        <v>440</v>
      </c>
      <c r="L436" s="283">
        <v>45170</v>
      </c>
      <c r="M436" s="281">
        <v>45900</v>
      </c>
      <c r="N436" s="470" t="s">
        <v>130</v>
      </c>
      <c r="O436" s="466">
        <v>0</v>
      </c>
      <c r="P436" s="285" t="s">
        <v>399</v>
      </c>
      <c r="Q436" s="285" t="s">
        <v>399</v>
      </c>
      <c r="R436" s="288">
        <v>0</v>
      </c>
    </row>
    <row r="437" spans="1:18" hidden="1">
      <c r="A437" s="193">
        <v>3665</v>
      </c>
      <c r="B437" s="194"/>
      <c r="C437" s="282"/>
      <c r="D437" s="282"/>
      <c r="E437" s="282"/>
      <c r="F437" s="283"/>
      <c r="G437" s="193">
        <v>3</v>
      </c>
      <c r="H437" s="282">
        <v>4</v>
      </c>
      <c r="I437" s="282">
        <v>850</v>
      </c>
      <c r="J437" s="282" t="s">
        <v>390</v>
      </c>
      <c r="K437" s="282" t="s">
        <v>440</v>
      </c>
      <c r="L437" s="283">
        <v>45536</v>
      </c>
      <c r="M437" s="281"/>
      <c r="N437" s="194" t="s">
        <v>130</v>
      </c>
      <c r="O437" s="466">
        <v>0</v>
      </c>
      <c r="P437" s="285">
        <v>45901</v>
      </c>
      <c r="Q437" s="285">
        <v>46022</v>
      </c>
      <c r="R437" s="288">
        <v>1</v>
      </c>
    </row>
    <row r="438" spans="1:18" hidden="1">
      <c r="A438" s="193">
        <v>3665</v>
      </c>
      <c r="B438" s="194"/>
      <c r="C438" s="282"/>
      <c r="D438" s="282"/>
      <c r="E438" s="282"/>
      <c r="F438" s="283"/>
      <c r="G438" s="193">
        <v>4</v>
      </c>
      <c r="H438" s="282">
        <v>5</v>
      </c>
      <c r="I438" s="282">
        <v>850</v>
      </c>
      <c r="J438" s="282" t="s">
        <v>390</v>
      </c>
      <c r="K438" s="282" t="s">
        <v>440</v>
      </c>
      <c r="L438" s="283">
        <v>45170</v>
      </c>
      <c r="M438" s="281"/>
      <c r="N438" s="194" t="s">
        <v>130</v>
      </c>
      <c r="O438" s="466">
        <v>0</v>
      </c>
      <c r="P438" s="285">
        <v>45901</v>
      </c>
      <c r="Q438" s="285">
        <v>46022</v>
      </c>
      <c r="R438" s="288">
        <v>1</v>
      </c>
    </row>
    <row r="439" spans="1:18" hidden="1">
      <c r="A439" s="193">
        <v>3665</v>
      </c>
      <c r="B439" s="194"/>
      <c r="C439" s="282"/>
      <c r="D439" s="282"/>
      <c r="E439" s="282"/>
      <c r="F439" s="283"/>
      <c r="G439" s="193">
        <v>3</v>
      </c>
      <c r="H439" s="282">
        <v>4</v>
      </c>
      <c r="I439" s="282">
        <v>850</v>
      </c>
      <c r="J439" s="282" t="s">
        <v>390</v>
      </c>
      <c r="K439" s="282" t="s">
        <v>440</v>
      </c>
      <c r="L439" s="283">
        <v>45536</v>
      </c>
      <c r="M439" s="281"/>
      <c r="N439" s="194" t="s">
        <v>130</v>
      </c>
      <c r="O439" s="466">
        <v>0</v>
      </c>
      <c r="P439" s="285">
        <v>45901</v>
      </c>
      <c r="Q439" s="285">
        <v>46022</v>
      </c>
      <c r="R439" s="288">
        <v>1</v>
      </c>
    </row>
    <row r="440" spans="1:18" hidden="1">
      <c r="A440" s="193">
        <v>3665</v>
      </c>
      <c r="B440" s="194"/>
      <c r="C440" s="479"/>
      <c r="D440" s="479"/>
      <c r="E440" s="479"/>
      <c r="F440" s="480"/>
      <c r="G440" s="479">
        <v>1</v>
      </c>
      <c r="H440" s="282">
        <v>2</v>
      </c>
      <c r="I440" s="193">
        <v>850</v>
      </c>
      <c r="J440" s="193" t="s">
        <v>390</v>
      </c>
      <c r="K440" s="193" t="s">
        <v>440</v>
      </c>
      <c r="L440" s="283">
        <v>45901</v>
      </c>
      <c r="M440" s="281"/>
      <c r="N440" s="194" t="s">
        <v>130</v>
      </c>
      <c r="O440" s="466">
        <v>0</v>
      </c>
      <c r="P440" s="285">
        <v>45901</v>
      </c>
      <c r="Q440" s="285">
        <v>46022</v>
      </c>
      <c r="R440" s="288">
        <v>1</v>
      </c>
    </row>
    <row r="441" spans="1:18" hidden="1">
      <c r="A441" s="282">
        <v>3665</v>
      </c>
      <c r="B441" s="194"/>
      <c r="C441" s="282"/>
      <c r="D441" s="282"/>
      <c r="E441" s="282"/>
      <c r="F441" s="283"/>
      <c r="G441" s="479">
        <v>6</v>
      </c>
      <c r="H441" s="282">
        <v>7</v>
      </c>
      <c r="I441" s="282">
        <v>850</v>
      </c>
      <c r="J441" s="282" t="s">
        <v>390</v>
      </c>
      <c r="K441" s="282" t="s">
        <v>440</v>
      </c>
      <c r="L441" s="283">
        <v>44354</v>
      </c>
      <c r="M441" s="284">
        <v>45900</v>
      </c>
      <c r="N441" s="472" t="s">
        <v>130</v>
      </c>
      <c r="O441" s="466">
        <v>0</v>
      </c>
      <c r="P441" s="285" t="s">
        <v>399</v>
      </c>
      <c r="Q441" s="285" t="s">
        <v>399</v>
      </c>
      <c r="R441" s="288">
        <v>0</v>
      </c>
    </row>
    <row r="442" spans="1:18" hidden="1">
      <c r="A442" s="282">
        <v>3665</v>
      </c>
      <c r="B442" s="194"/>
      <c r="C442" s="282"/>
      <c r="D442" s="282"/>
      <c r="E442" s="282"/>
      <c r="F442" s="283"/>
      <c r="G442" s="282">
        <v>3</v>
      </c>
      <c r="H442" s="282">
        <v>4</v>
      </c>
      <c r="I442" s="282">
        <v>850</v>
      </c>
      <c r="J442" s="282" t="s">
        <v>390</v>
      </c>
      <c r="K442" s="282" t="s">
        <v>440</v>
      </c>
      <c r="L442" s="283">
        <v>45901</v>
      </c>
      <c r="M442" s="281"/>
      <c r="N442" s="472" t="s">
        <v>130</v>
      </c>
      <c r="O442" s="466">
        <v>0</v>
      </c>
      <c r="P442" s="285">
        <v>45901</v>
      </c>
      <c r="Q442" s="285">
        <v>46022</v>
      </c>
      <c r="R442" s="288">
        <v>1</v>
      </c>
    </row>
    <row r="443" spans="1:18" hidden="1">
      <c r="A443" s="282">
        <v>3665</v>
      </c>
      <c r="B443" s="194"/>
      <c r="C443" s="282"/>
      <c r="D443" s="282"/>
      <c r="E443" s="282"/>
      <c r="F443" s="283"/>
      <c r="G443" s="282">
        <v>6</v>
      </c>
      <c r="H443" s="282">
        <v>7</v>
      </c>
      <c r="I443" s="282">
        <v>850</v>
      </c>
      <c r="J443" s="282" t="s">
        <v>390</v>
      </c>
      <c r="K443" s="282" t="s">
        <v>440</v>
      </c>
      <c r="L443" s="283">
        <v>44728</v>
      </c>
      <c r="M443" s="284">
        <v>45900</v>
      </c>
      <c r="N443" s="472" t="s">
        <v>130</v>
      </c>
      <c r="O443" s="466">
        <v>0</v>
      </c>
      <c r="P443" s="285" t="s">
        <v>399</v>
      </c>
      <c r="Q443" s="285" t="s">
        <v>399</v>
      </c>
      <c r="R443" s="288">
        <v>0</v>
      </c>
    </row>
    <row r="444" spans="1:18" hidden="1">
      <c r="A444" s="282">
        <v>3665</v>
      </c>
      <c r="B444" s="194"/>
      <c r="C444" s="282"/>
      <c r="D444" s="282"/>
      <c r="E444" s="282"/>
      <c r="F444" s="283"/>
      <c r="G444" s="282">
        <v>1</v>
      </c>
      <c r="H444" s="282">
        <v>2</v>
      </c>
      <c r="I444" s="282">
        <v>850</v>
      </c>
      <c r="J444" s="282" t="s">
        <v>390</v>
      </c>
      <c r="K444" s="282" t="s">
        <v>440</v>
      </c>
      <c r="L444" s="283">
        <v>45901</v>
      </c>
      <c r="M444" s="284"/>
      <c r="N444" s="472" t="s">
        <v>130</v>
      </c>
      <c r="O444" s="466">
        <v>0</v>
      </c>
      <c r="P444" s="285">
        <v>45901</v>
      </c>
      <c r="Q444" s="285">
        <v>46022</v>
      </c>
      <c r="R444" s="288">
        <v>1</v>
      </c>
    </row>
    <row r="445" spans="1:18" hidden="1">
      <c r="A445" s="282">
        <v>3665</v>
      </c>
      <c r="B445" s="194"/>
      <c r="C445" s="282"/>
      <c r="D445" s="282"/>
      <c r="E445" s="282"/>
      <c r="F445" s="283"/>
      <c r="G445" s="282">
        <v>6</v>
      </c>
      <c r="H445" s="282">
        <v>7</v>
      </c>
      <c r="I445" s="282">
        <v>850</v>
      </c>
      <c r="J445" s="282" t="s">
        <v>390</v>
      </c>
      <c r="K445" s="282" t="s">
        <v>440</v>
      </c>
      <c r="L445" s="283">
        <v>45536</v>
      </c>
      <c r="M445" s="281">
        <v>45900</v>
      </c>
      <c r="N445" s="472" t="s">
        <v>130</v>
      </c>
      <c r="O445" s="466">
        <v>0</v>
      </c>
      <c r="P445" s="285" t="s">
        <v>399</v>
      </c>
      <c r="Q445" s="285" t="s">
        <v>399</v>
      </c>
      <c r="R445" s="288">
        <v>0</v>
      </c>
    </row>
    <row r="446" spans="1:18" hidden="1">
      <c r="A446" s="282">
        <v>3665</v>
      </c>
      <c r="B446" s="194"/>
      <c r="C446" s="479"/>
      <c r="D446" s="479"/>
      <c r="E446" s="479"/>
      <c r="F446" s="480"/>
      <c r="G446" s="282">
        <v>1</v>
      </c>
      <c r="H446" s="282">
        <v>2</v>
      </c>
      <c r="I446" s="282">
        <v>850</v>
      </c>
      <c r="J446" s="282" t="s">
        <v>390</v>
      </c>
      <c r="K446" s="282" t="s">
        <v>440</v>
      </c>
      <c r="L446" s="281">
        <v>45901</v>
      </c>
      <c r="M446" s="284"/>
      <c r="N446" s="472" t="s">
        <v>130</v>
      </c>
      <c r="O446" s="466">
        <v>0</v>
      </c>
      <c r="P446" s="285">
        <v>45901</v>
      </c>
      <c r="Q446" s="285">
        <v>46022</v>
      </c>
      <c r="R446" s="288">
        <v>1</v>
      </c>
    </row>
    <row r="447" spans="1:18" hidden="1">
      <c r="A447" s="282">
        <v>4000</v>
      </c>
      <c r="B447" s="194"/>
      <c r="C447" s="282"/>
      <c r="D447" s="282"/>
      <c r="E447" s="282"/>
      <c r="F447" s="283"/>
      <c r="G447" s="479">
        <v>9</v>
      </c>
      <c r="H447" s="282">
        <v>10</v>
      </c>
      <c r="I447" s="282">
        <v>850</v>
      </c>
      <c r="J447" s="282" t="s">
        <v>390</v>
      </c>
      <c r="K447" s="282" t="s">
        <v>441</v>
      </c>
      <c r="L447" s="283">
        <v>44805</v>
      </c>
      <c r="M447" s="284"/>
      <c r="N447" s="472" t="s">
        <v>218</v>
      </c>
      <c r="O447" s="466">
        <v>0</v>
      </c>
      <c r="P447" s="285">
        <v>45901</v>
      </c>
      <c r="Q447" s="285">
        <v>46022</v>
      </c>
      <c r="R447" s="288">
        <v>1</v>
      </c>
    </row>
    <row r="448" spans="1:18" hidden="1">
      <c r="A448" s="282">
        <v>4000</v>
      </c>
      <c r="B448" s="194"/>
      <c r="C448" s="282"/>
      <c r="D448" s="282"/>
      <c r="E448" s="282"/>
      <c r="F448" s="283"/>
      <c r="G448" s="479">
        <v>11</v>
      </c>
      <c r="H448" s="282">
        <v>12</v>
      </c>
      <c r="I448" s="282">
        <v>850</v>
      </c>
      <c r="J448" s="282" t="s">
        <v>390</v>
      </c>
      <c r="K448" s="282" t="s">
        <v>441</v>
      </c>
      <c r="L448" s="283">
        <v>44075</v>
      </c>
      <c r="M448" s="284">
        <v>45900</v>
      </c>
      <c r="N448" s="472" t="s">
        <v>218</v>
      </c>
      <c r="O448" s="466">
        <v>0</v>
      </c>
      <c r="P448" s="285" t="s">
        <v>399</v>
      </c>
      <c r="Q448" s="285" t="s">
        <v>399</v>
      </c>
      <c r="R448" s="288">
        <v>0</v>
      </c>
    </row>
    <row r="449" spans="1:18" hidden="1">
      <c r="A449" s="282">
        <v>4007</v>
      </c>
      <c r="B449" s="194"/>
      <c r="C449" s="282"/>
      <c r="D449" s="282"/>
      <c r="E449" s="282"/>
      <c r="F449" s="283"/>
      <c r="G449" s="282">
        <v>8</v>
      </c>
      <c r="H449" s="282">
        <v>9</v>
      </c>
      <c r="I449" s="282">
        <v>850</v>
      </c>
      <c r="J449" s="282" t="s">
        <v>390</v>
      </c>
      <c r="K449" s="282" t="s">
        <v>442</v>
      </c>
      <c r="L449" s="283">
        <v>45170</v>
      </c>
      <c r="M449" s="284"/>
      <c r="N449" s="472" t="s">
        <v>143</v>
      </c>
      <c r="O449" s="466">
        <v>0</v>
      </c>
      <c r="P449" s="285">
        <v>45901</v>
      </c>
      <c r="Q449" s="285">
        <v>46022</v>
      </c>
      <c r="R449" s="288">
        <v>1</v>
      </c>
    </row>
    <row r="450" spans="1:18" hidden="1">
      <c r="A450" s="282">
        <v>4007</v>
      </c>
      <c r="B450" s="194"/>
      <c r="C450" s="479"/>
      <c r="D450" s="479"/>
      <c r="E450" s="479"/>
      <c r="F450" s="480"/>
      <c r="G450" s="282">
        <v>7</v>
      </c>
      <c r="H450" s="282">
        <v>8</v>
      </c>
      <c r="I450" s="282">
        <v>850</v>
      </c>
      <c r="J450" s="282" t="s">
        <v>390</v>
      </c>
      <c r="K450" s="282" t="s">
        <v>442</v>
      </c>
      <c r="L450" s="281">
        <v>45536</v>
      </c>
      <c r="M450" s="284"/>
      <c r="N450" s="472" t="s">
        <v>143</v>
      </c>
      <c r="O450" s="466">
        <v>0</v>
      </c>
      <c r="P450" s="285">
        <v>45901</v>
      </c>
      <c r="Q450" s="285">
        <v>46022</v>
      </c>
      <c r="R450" s="288">
        <v>1</v>
      </c>
    </row>
    <row r="451" spans="1:18" hidden="1">
      <c r="A451" s="282">
        <v>4007</v>
      </c>
      <c r="B451" s="194"/>
      <c r="C451" s="282"/>
      <c r="D451" s="282"/>
      <c r="E451" s="282"/>
      <c r="F451" s="283"/>
      <c r="G451" s="282">
        <v>11</v>
      </c>
      <c r="H451" s="282">
        <v>12</v>
      </c>
      <c r="I451" s="282">
        <v>850</v>
      </c>
      <c r="J451" s="282" t="s">
        <v>390</v>
      </c>
      <c r="K451" s="282" t="s">
        <v>442</v>
      </c>
      <c r="L451" s="283">
        <v>44075</v>
      </c>
      <c r="M451" s="284">
        <v>45900</v>
      </c>
      <c r="N451" s="472" t="s">
        <v>143</v>
      </c>
      <c r="O451" s="466">
        <v>0</v>
      </c>
      <c r="P451" s="285" t="s">
        <v>399</v>
      </c>
      <c r="Q451" s="285" t="s">
        <v>399</v>
      </c>
      <c r="R451" s="288">
        <v>0</v>
      </c>
    </row>
    <row r="452" spans="1:18" hidden="1">
      <c r="A452" s="282">
        <v>4007</v>
      </c>
      <c r="B452" s="194"/>
      <c r="C452" s="282"/>
      <c r="D452" s="282"/>
      <c r="E452" s="282"/>
      <c r="F452" s="283"/>
      <c r="G452" s="282">
        <v>8</v>
      </c>
      <c r="H452" s="282">
        <v>9</v>
      </c>
      <c r="I452" s="282">
        <v>850</v>
      </c>
      <c r="J452" s="282" t="s">
        <v>390</v>
      </c>
      <c r="K452" s="282" t="s">
        <v>442</v>
      </c>
      <c r="L452" s="283">
        <v>45170</v>
      </c>
      <c r="M452" s="281"/>
      <c r="N452" s="472" t="s">
        <v>143</v>
      </c>
      <c r="O452" s="466">
        <v>0</v>
      </c>
      <c r="P452" s="285">
        <v>45901</v>
      </c>
      <c r="Q452" s="285">
        <v>46022</v>
      </c>
      <c r="R452" s="288">
        <v>1</v>
      </c>
    </row>
    <row r="453" spans="1:18" hidden="1">
      <c r="A453" s="282">
        <v>4110</v>
      </c>
      <c r="B453" s="194"/>
      <c r="C453" s="282"/>
      <c r="D453" s="282"/>
      <c r="E453" s="282"/>
      <c r="F453" s="283"/>
      <c r="G453" s="282">
        <v>5</v>
      </c>
      <c r="H453" s="282">
        <v>6</v>
      </c>
      <c r="I453" s="282">
        <v>850</v>
      </c>
      <c r="J453" s="282" t="s">
        <v>390</v>
      </c>
      <c r="K453" s="282" t="s">
        <v>443</v>
      </c>
      <c r="L453" s="281">
        <v>45901</v>
      </c>
      <c r="M453" s="284"/>
      <c r="N453" s="472" t="s">
        <v>141</v>
      </c>
      <c r="O453" s="466">
        <v>0</v>
      </c>
      <c r="P453" s="285">
        <v>45901</v>
      </c>
      <c r="Q453" s="285">
        <v>46022</v>
      </c>
      <c r="R453" s="288">
        <v>1</v>
      </c>
    </row>
    <row r="454" spans="1:18" hidden="1">
      <c r="A454" s="282">
        <v>4110</v>
      </c>
      <c r="B454" s="194"/>
      <c r="C454" s="282"/>
      <c r="D454" s="282"/>
      <c r="E454" s="282"/>
      <c r="F454" s="283"/>
      <c r="G454" s="282">
        <v>9</v>
      </c>
      <c r="H454" s="282">
        <v>10</v>
      </c>
      <c r="I454" s="282">
        <v>850</v>
      </c>
      <c r="J454" s="282" t="s">
        <v>390</v>
      </c>
      <c r="K454" s="282" t="s">
        <v>443</v>
      </c>
      <c r="L454" s="281">
        <v>44805</v>
      </c>
      <c r="M454" s="284"/>
      <c r="N454" s="472" t="s">
        <v>141</v>
      </c>
      <c r="O454" s="466">
        <v>0</v>
      </c>
      <c r="P454" s="285">
        <v>45901</v>
      </c>
      <c r="Q454" s="285">
        <v>46022</v>
      </c>
      <c r="R454" s="288">
        <v>1</v>
      </c>
    </row>
    <row r="455" spans="1:18" hidden="1">
      <c r="A455" s="282">
        <v>4110</v>
      </c>
      <c r="B455" s="194"/>
      <c r="C455" s="282"/>
      <c r="D455" s="282"/>
      <c r="E455" s="282"/>
      <c r="F455" s="283"/>
      <c r="G455" s="479">
        <v>7</v>
      </c>
      <c r="H455" s="282">
        <v>8</v>
      </c>
      <c r="I455" s="282">
        <v>850</v>
      </c>
      <c r="J455" s="282" t="s">
        <v>390</v>
      </c>
      <c r="K455" s="282" t="s">
        <v>443</v>
      </c>
      <c r="L455" s="281">
        <v>45536</v>
      </c>
      <c r="M455" s="284"/>
      <c r="N455" s="472" t="s">
        <v>141</v>
      </c>
      <c r="O455" s="466">
        <v>0</v>
      </c>
      <c r="P455" s="285">
        <v>45901</v>
      </c>
      <c r="Q455" s="285">
        <v>46022</v>
      </c>
      <c r="R455" s="288">
        <v>1</v>
      </c>
    </row>
    <row r="456" spans="1:18" hidden="1">
      <c r="A456" s="282">
        <v>4110</v>
      </c>
      <c r="B456" s="194"/>
      <c r="C456" s="282"/>
      <c r="D456" s="282"/>
      <c r="E456" s="282"/>
      <c r="F456" s="283"/>
      <c r="G456" s="282">
        <v>7</v>
      </c>
      <c r="H456" s="282">
        <v>8</v>
      </c>
      <c r="I456" s="282">
        <v>850</v>
      </c>
      <c r="J456" s="282" t="s">
        <v>390</v>
      </c>
      <c r="K456" s="282" t="s">
        <v>443</v>
      </c>
      <c r="L456" s="281">
        <v>45536</v>
      </c>
      <c r="M456" s="284"/>
      <c r="N456" s="472" t="s">
        <v>141</v>
      </c>
      <c r="O456" s="466">
        <v>0</v>
      </c>
      <c r="P456" s="285">
        <v>45901</v>
      </c>
      <c r="Q456" s="285">
        <v>46022</v>
      </c>
      <c r="R456" s="288">
        <v>1</v>
      </c>
    </row>
    <row r="457" spans="1:18" hidden="1">
      <c r="A457" s="282">
        <v>4110</v>
      </c>
      <c r="B457" s="194"/>
      <c r="C457" s="282"/>
      <c r="D457" s="282"/>
      <c r="E457" s="282"/>
      <c r="F457" s="283"/>
      <c r="G457" s="282">
        <v>6</v>
      </c>
      <c r="H457" s="282">
        <v>7</v>
      </c>
      <c r="I457" s="282">
        <v>850</v>
      </c>
      <c r="J457" s="282" t="s">
        <v>390</v>
      </c>
      <c r="K457" s="282" t="s">
        <v>443</v>
      </c>
      <c r="L457" s="281">
        <v>45901</v>
      </c>
      <c r="M457" s="284"/>
      <c r="N457" s="472" t="s">
        <v>141</v>
      </c>
      <c r="O457" s="466">
        <v>0</v>
      </c>
      <c r="P457" s="285">
        <v>45901</v>
      </c>
      <c r="Q457" s="285">
        <v>46022</v>
      </c>
      <c r="R457" s="288">
        <v>1</v>
      </c>
    </row>
    <row r="458" spans="1:18" hidden="1">
      <c r="A458" s="282">
        <v>4110</v>
      </c>
      <c r="B458" s="194"/>
      <c r="C458" s="282"/>
      <c r="D458" s="282"/>
      <c r="E458" s="282"/>
      <c r="F458" s="283"/>
      <c r="G458" s="282">
        <v>8</v>
      </c>
      <c r="H458" s="282">
        <v>9</v>
      </c>
      <c r="I458" s="282">
        <v>850</v>
      </c>
      <c r="J458" s="282" t="s">
        <v>390</v>
      </c>
      <c r="K458" s="282" t="s">
        <v>443</v>
      </c>
      <c r="L458" s="281">
        <v>45170</v>
      </c>
      <c r="M458" s="284">
        <v>45900</v>
      </c>
      <c r="N458" s="472" t="s">
        <v>141</v>
      </c>
      <c r="O458" s="466">
        <v>0</v>
      </c>
      <c r="P458" s="285" t="s">
        <v>399</v>
      </c>
      <c r="Q458" s="285" t="s">
        <v>399</v>
      </c>
      <c r="R458" s="288">
        <v>0</v>
      </c>
    </row>
    <row r="459" spans="1:18" hidden="1">
      <c r="A459" s="282">
        <v>4110</v>
      </c>
      <c r="B459" s="194"/>
      <c r="C459" s="282"/>
      <c r="D459" s="282"/>
      <c r="E459" s="282"/>
      <c r="F459" s="283"/>
      <c r="G459" s="282">
        <v>11</v>
      </c>
      <c r="H459" s="282">
        <v>12</v>
      </c>
      <c r="I459" s="282">
        <v>850</v>
      </c>
      <c r="J459" s="282" t="s">
        <v>390</v>
      </c>
      <c r="K459" s="282" t="s">
        <v>443</v>
      </c>
      <c r="L459" s="281">
        <v>44075</v>
      </c>
      <c r="M459" s="284">
        <v>45900</v>
      </c>
      <c r="N459" s="472" t="s">
        <v>141</v>
      </c>
      <c r="O459" s="466">
        <v>0</v>
      </c>
      <c r="P459" s="285" t="s">
        <v>399</v>
      </c>
      <c r="Q459" s="285" t="s">
        <v>399</v>
      </c>
      <c r="R459" s="288">
        <v>0</v>
      </c>
    </row>
    <row r="460" spans="1:18" hidden="1">
      <c r="A460" s="282">
        <v>4110</v>
      </c>
      <c r="B460" s="194"/>
      <c r="C460" s="282"/>
      <c r="D460" s="282"/>
      <c r="E460" s="282"/>
      <c r="F460" s="283"/>
      <c r="G460" s="282">
        <v>11</v>
      </c>
      <c r="H460" s="282">
        <v>12</v>
      </c>
      <c r="I460" s="282">
        <v>850</v>
      </c>
      <c r="J460" s="282" t="s">
        <v>390</v>
      </c>
      <c r="K460" s="282" t="s">
        <v>443</v>
      </c>
      <c r="L460" s="281">
        <v>44075</v>
      </c>
      <c r="M460" s="281">
        <v>45900</v>
      </c>
      <c r="N460" s="472" t="s">
        <v>141</v>
      </c>
      <c r="O460" s="466">
        <v>0</v>
      </c>
      <c r="P460" s="285" t="s">
        <v>399</v>
      </c>
      <c r="Q460" s="285" t="s">
        <v>399</v>
      </c>
      <c r="R460" s="288">
        <v>0</v>
      </c>
    </row>
    <row r="461" spans="1:18" hidden="1">
      <c r="A461" s="282">
        <v>4110</v>
      </c>
      <c r="B461" s="194"/>
      <c r="C461" s="282"/>
      <c r="D461" s="282"/>
      <c r="E461" s="282"/>
      <c r="F461" s="283"/>
      <c r="G461" s="282">
        <v>5</v>
      </c>
      <c r="H461" s="282">
        <v>6</v>
      </c>
      <c r="I461" s="282">
        <v>850</v>
      </c>
      <c r="J461" s="282" t="s">
        <v>390</v>
      </c>
      <c r="K461" s="282" t="s">
        <v>444</v>
      </c>
      <c r="L461" s="281">
        <v>45901</v>
      </c>
      <c r="M461" s="281"/>
      <c r="N461" s="472" t="s">
        <v>240</v>
      </c>
      <c r="O461" s="466">
        <v>0</v>
      </c>
      <c r="P461" s="285">
        <v>45901</v>
      </c>
      <c r="Q461" s="285">
        <v>46022</v>
      </c>
      <c r="R461" s="288">
        <v>1</v>
      </c>
    </row>
    <row r="462" spans="1:18" hidden="1">
      <c r="A462" s="282">
        <v>4110</v>
      </c>
      <c r="B462" s="194"/>
      <c r="C462" s="282"/>
      <c r="D462" s="282"/>
      <c r="E462" s="282"/>
      <c r="F462" s="283"/>
      <c r="G462" s="282">
        <v>7</v>
      </c>
      <c r="H462" s="282">
        <v>8</v>
      </c>
      <c r="I462" s="282">
        <v>850</v>
      </c>
      <c r="J462" s="282" t="s">
        <v>390</v>
      </c>
      <c r="K462" s="282" t="s">
        <v>443</v>
      </c>
      <c r="L462" s="281">
        <v>45536</v>
      </c>
      <c r="M462" s="281">
        <v>45770</v>
      </c>
      <c r="N462" s="472" t="s">
        <v>141</v>
      </c>
      <c r="O462" s="466">
        <v>0</v>
      </c>
      <c r="P462" s="285" t="s">
        <v>399</v>
      </c>
      <c r="Q462" s="285" t="s">
        <v>399</v>
      </c>
      <c r="R462" s="288">
        <v>0</v>
      </c>
    </row>
    <row r="463" spans="1:18" hidden="1">
      <c r="A463" s="282">
        <v>4110</v>
      </c>
      <c r="B463" s="194"/>
      <c r="C463" s="282"/>
      <c r="D463" s="282"/>
      <c r="E463" s="282"/>
      <c r="F463" s="283"/>
      <c r="G463" s="282">
        <v>7</v>
      </c>
      <c r="H463" s="282">
        <v>8</v>
      </c>
      <c r="I463" s="282">
        <v>850</v>
      </c>
      <c r="J463" s="282" t="s">
        <v>390</v>
      </c>
      <c r="K463" s="282" t="s">
        <v>443</v>
      </c>
      <c r="L463" s="281">
        <v>45536</v>
      </c>
      <c r="M463" s="281"/>
      <c r="N463" s="472" t="s">
        <v>141</v>
      </c>
      <c r="O463" s="466">
        <v>0</v>
      </c>
      <c r="P463" s="285">
        <v>45901</v>
      </c>
      <c r="Q463" s="285">
        <v>46022</v>
      </c>
      <c r="R463" s="288">
        <v>1</v>
      </c>
    </row>
    <row r="464" spans="1:18" hidden="1">
      <c r="A464" s="282">
        <v>4110</v>
      </c>
      <c r="B464" s="194"/>
      <c r="C464" s="282"/>
      <c r="D464" s="282"/>
      <c r="E464" s="282"/>
      <c r="F464" s="283"/>
      <c r="G464" s="282">
        <v>5</v>
      </c>
      <c r="H464" s="282">
        <v>6</v>
      </c>
      <c r="I464" s="282">
        <v>850</v>
      </c>
      <c r="J464" s="282" t="s">
        <v>390</v>
      </c>
      <c r="K464" s="282" t="s">
        <v>443</v>
      </c>
      <c r="L464" s="281">
        <v>45901</v>
      </c>
      <c r="M464" s="281"/>
      <c r="N464" s="472" t="s">
        <v>141</v>
      </c>
      <c r="O464" s="466">
        <v>0</v>
      </c>
      <c r="P464" s="285">
        <v>45901</v>
      </c>
      <c r="Q464" s="285">
        <v>46022</v>
      </c>
      <c r="R464" s="288">
        <v>1</v>
      </c>
    </row>
    <row r="465" spans="1:18" hidden="1">
      <c r="A465" s="193">
        <v>4110</v>
      </c>
      <c r="B465" s="194"/>
      <c r="C465" s="282"/>
      <c r="D465" s="282"/>
      <c r="E465" s="282"/>
      <c r="F465" s="283"/>
      <c r="G465" s="193">
        <v>7</v>
      </c>
      <c r="H465" s="282">
        <v>8</v>
      </c>
      <c r="I465" s="282">
        <v>850</v>
      </c>
      <c r="J465" s="282" t="s">
        <v>390</v>
      </c>
      <c r="K465" s="282" t="s">
        <v>443</v>
      </c>
      <c r="L465" s="283">
        <v>45536</v>
      </c>
      <c r="M465" s="284"/>
      <c r="N465" s="472" t="s">
        <v>141</v>
      </c>
      <c r="O465" s="466">
        <v>0</v>
      </c>
      <c r="P465" s="285">
        <v>45901</v>
      </c>
      <c r="Q465" s="285">
        <v>46022</v>
      </c>
      <c r="R465" s="288">
        <v>1</v>
      </c>
    </row>
    <row r="466" spans="1:18" hidden="1">
      <c r="A466" s="193">
        <v>4110</v>
      </c>
      <c r="B466" s="194"/>
      <c r="C466" s="282"/>
      <c r="D466" s="282"/>
      <c r="E466" s="282"/>
      <c r="F466" s="283"/>
      <c r="G466" s="193">
        <v>7</v>
      </c>
      <c r="H466" s="282">
        <v>8</v>
      </c>
      <c r="I466" s="282">
        <v>850</v>
      </c>
      <c r="J466" s="282" t="s">
        <v>390</v>
      </c>
      <c r="K466" s="282" t="s">
        <v>443</v>
      </c>
      <c r="L466" s="283">
        <v>45536</v>
      </c>
      <c r="M466" s="284"/>
      <c r="N466" s="472" t="s">
        <v>141</v>
      </c>
      <c r="O466" s="466">
        <v>0</v>
      </c>
      <c r="P466" s="285">
        <v>45901</v>
      </c>
      <c r="Q466" s="285">
        <v>46022</v>
      </c>
      <c r="R466" s="288">
        <v>1</v>
      </c>
    </row>
    <row r="467" spans="1:18" hidden="1">
      <c r="A467" s="193">
        <v>4110</v>
      </c>
      <c r="B467" s="194"/>
      <c r="C467" s="282"/>
      <c r="D467" s="282"/>
      <c r="E467" s="282"/>
      <c r="F467" s="283"/>
      <c r="G467" s="193">
        <v>9</v>
      </c>
      <c r="H467" s="282">
        <v>10</v>
      </c>
      <c r="I467" s="282">
        <v>850</v>
      </c>
      <c r="J467" s="282" t="s">
        <v>390</v>
      </c>
      <c r="K467" s="282" t="s">
        <v>444</v>
      </c>
      <c r="L467" s="283">
        <v>44805</v>
      </c>
      <c r="M467" s="284"/>
      <c r="N467" s="287" t="s">
        <v>240</v>
      </c>
      <c r="O467" s="466">
        <v>0</v>
      </c>
      <c r="P467" s="285">
        <v>45901</v>
      </c>
      <c r="Q467" s="285">
        <v>46022</v>
      </c>
      <c r="R467" s="288">
        <v>1</v>
      </c>
    </row>
    <row r="468" spans="1:18" hidden="1">
      <c r="A468" s="193">
        <v>4110</v>
      </c>
      <c r="B468" s="194"/>
      <c r="C468" s="282"/>
      <c r="D468" s="282"/>
      <c r="E468" s="282"/>
      <c r="F468" s="283"/>
      <c r="G468" s="193">
        <v>5</v>
      </c>
      <c r="H468" s="282">
        <v>6</v>
      </c>
      <c r="I468" s="282">
        <v>850</v>
      </c>
      <c r="J468" s="282" t="s">
        <v>390</v>
      </c>
      <c r="K468" s="282" t="s">
        <v>443</v>
      </c>
      <c r="L468" s="283">
        <v>45901</v>
      </c>
      <c r="M468" s="284"/>
      <c r="N468" s="287" t="s">
        <v>141</v>
      </c>
      <c r="O468" s="466">
        <v>0</v>
      </c>
      <c r="P468" s="285">
        <v>45901</v>
      </c>
      <c r="Q468" s="285">
        <v>46022</v>
      </c>
      <c r="R468" s="288">
        <v>1</v>
      </c>
    </row>
    <row r="469" spans="1:18" hidden="1">
      <c r="A469" s="193">
        <v>4110</v>
      </c>
      <c r="B469" s="194"/>
      <c r="C469" s="282"/>
      <c r="D469" s="282"/>
      <c r="E469" s="282"/>
      <c r="F469" s="283"/>
      <c r="G469" s="193">
        <v>9</v>
      </c>
      <c r="H469" s="282">
        <v>10</v>
      </c>
      <c r="I469" s="282">
        <v>850</v>
      </c>
      <c r="J469" s="282" t="s">
        <v>390</v>
      </c>
      <c r="K469" s="282" t="s">
        <v>443</v>
      </c>
      <c r="L469" s="283">
        <v>44805</v>
      </c>
      <c r="M469" s="281"/>
      <c r="N469" s="287" t="s">
        <v>141</v>
      </c>
      <c r="O469" s="466">
        <v>0</v>
      </c>
      <c r="P469" s="285">
        <v>45901</v>
      </c>
      <c r="Q469" s="285">
        <v>46022</v>
      </c>
      <c r="R469" s="288">
        <v>1</v>
      </c>
    </row>
    <row r="470" spans="1:18" hidden="1">
      <c r="A470" s="193">
        <v>4113</v>
      </c>
      <c r="B470" s="194"/>
      <c r="C470" s="282"/>
      <c r="D470" s="282"/>
      <c r="E470" s="282"/>
      <c r="F470" s="283"/>
      <c r="G470" s="193">
        <v>7</v>
      </c>
      <c r="H470" s="282">
        <v>8</v>
      </c>
      <c r="I470" s="282">
        <v>850</v>
      </c>
      <c r="J470" s="282" t="s">
        <v>390</v>
      </c>
      <c r="K470" s="282" t="s">
        <v>445</v>
      </c>
      <c r="L470" s="283">
        <v>45536</v>
      </c>
      <c r="M470" s="281"/>
      <c r="N470" s="287" t="s">
        <v>214</v>
      </c>
      <c r="O470" s="466" t="s">
        <v>214</v>
      </c>
      <c r="P470" s="285">
        <v>45901</v>
      </c>
      <c r="Q470" s="285">
        <v>46022</v>
      </c>
      <c r="R470" s="288">
        <v>1</v>
      </c>
    </row>
    <row r="471" spans="1:18" hidden="1">
      <c r="A471" s="193">
        <v>4113</v>
      </c>
      <c r="B471" s="194"/>
      <c r="C471" s="282"/>
      <c r="D471" s="282"/>
      <c r="E471" s="282"/>
      <c r="F471" s="283"/>
      <c r="G471" s="193">
        <v>7</v>
      </c>
      <c r="H471" s="282">
        <v>8</v>
      </c>
      <c r="I471" s="282">
        <v>850</v>
      </c>
      <c r="J471" s="282" t="s">
        <v>390</v>
      </c>
      <c r="K471" s="282" t="s">
        <v>445</v>
      </c>
      <c r="L471" s="283">
        <v>45536</v>
      </c>
      <c r="M471" s="281"/>
      <c r="N471" s="287" t="s">
        <v>214</v>
      </c>
      <c r="O471" s="466">
        <v>0</v>
      </c>
      <c r="P471" s="285">
        <v>45901</v>
      </c>
      <c r="Q471" s="285">
        <v>46022</v>
      </c>
      <c r="R471" s="288">
        <v>1</v>
      </c>
    </row>
    <row r="472" spans="1:18" hidden="1">
      <c r="A472" s="193">
        <v>4113</v>
      </c>
      <c r="B472" s="194"/>
      <c r="C472" s="282"/>
      <c r="D472" s="282"/>
      <c r="E472" s="282"/>
      <c r="F472" s="283"/>
      <c r="G472" s="193">
        <v>7</v>
      </c>
      <c r="H472" s="282">
        <v>8</v>
      </c>
      <c r="I472" s="282">
        <v>850</v>
      </c>
      <c r="J472" s="282" t="s">
        <v>390</v>
      </c>
      <c r="K472" s="282" t="s">
        <v>445</v>
      </c>
      <c r="L472" s="283">
        <v>45536</v>
      </c>
      <c r="M472" s="281"/>
      <c r="N472" s="287" t="s">
        <v>214</v>
      </c>
      <c r="O472" s="466">
        <v>0</v>
      </c>
      <c r="P472" s="285">
        <v>45901</v>
      </c>
      <c r="Q472" s="285">
        <v>46022</v>
      </c>
      <c r="R472" s="288">
        <v>1</v>
      </c>
    </row>
    <row r="473" spans="1:18" hidden="1">
      <c r="A473" s="193">
        <v>4113</v>
      </c>
      <c r="B473" s="194"/>
      <c r="C473" s="282"/>
      <c r="D473" s="282"/>
      <c r="E473" s="282"/>
      <c r="F473" s="283"/>
      <c r="G473" s="193">
        <v>8</v>
      </c>
      <c r="H473" s="282">
        <v>9</v>
      </c>
      <c r="I473" s="282">
        <v>850</v>
      </c>
      <c r="J473" s="282" t="s">
        <v>390</v>
      </c>
      <c r="K473" s="282" t="s">
        <v>445</v>
      </c>
      <c r="L473" s="283">
        <v>45170</v>
      </c>
      <c r="M473" s="281"/>
      <c r="N473" s="287" t="s">
        <v>214</v>
      </c>
      <c r="O473" s="466">
        <v>0</v>
      </c>
      <c r="P473" s="285">
        <v>45901</v>
      </c>
      <c r="Q473" s="285">
        <v>46022</v>
      </c>
      <c r="R473" s="288">
        <v>1</v>
      </c>
    </row>
    <row r="474" spans="1:18" hidden="1">
      <c r="A474" s="282">
        <v>4113</v>
      </c>
      <c r="B474" s="194"/>
      <c r="C474" s="282"/>
      <c r="D474" s="282"/>
      <c r="E474" s="282"/>
      <c r="F474" s="283"/>
      <c r="G474" s="282">
        <v>9</v>
      </c>
      <c r="H474" s="282">
        <v>10</v>
      </c>
      <c r="I474" s="282">
        <v>850</v>
      </c>
      <c r="J474" s="282" t="s">
        <v>390</v>
      </c>
      <c r="K474" s="282" t="s">
        <v>445</v>
      </c>
      <c r="L474" s="283">
        <v>44805</v>
      </c>
      <c r="M474" s="284"/>
      <c r="N474" s="472" t="s">
        <v>214</v>
      </c>
      <c r="O474" s="466">
        <v>0</v>
      </c>
      <c r="P474" s="285">
        <v>45901</v>
      </c>
      <c r="Q474" s="285">
        <v>46022</v>
      </c>
      <c r="R474" s="288">
        <v>1</v>
      </c>
    </row>
    <row r="475" spans="1:18" hidden="1">
      <c r="A475" s="282">
        <v>4113</v>
      </c>
      <c r="B475" s="194"/>
      <c r="C475" s="282"/>
      <c r="D475" s="282"/>
      <c r="E475" s="282"/>
      <c r="F475" s="283"/>
      <c r="G475" s="282">
        <v>10</v>
      </c>
      <c r="H475" s="282">
        <v>11</v>
      </c>
      <c r="I475" s="282">
        <v>850</v>
      </c>
      <c r="J475" s="282" t="s">
        <v>390</v>
      </c>
      <c r="K475" s="282" t="s">
        <v>445</v>
      </c>
      <c r="L475" s="283">
        <v>44440</v>
      </c>
      <c r="M475" s="281"/>
      <c r="N475" s="472" t="s">
        <v>214</v>
      </c>
      <c r="O475" s="466">
        <v>0</v>
      </c>
      <c r="P475" s="285">
        <v>45901</v>
      </c>
      <c r="Q475" s="285">
        <v>46022</v>
      </c>
      <c r="R475" s="288">
        <v>1</v>
      </c>
    </row>
    <row r="476" spans="1:18" hidden="1">
      <c r="A476" s="282">
        <v>4113</v>
      </c>
      <c r="B476" s="194"/>
      <c r="C476" s="282"/>
      <c r="D476" s="282"/>
      <c r="E476" s="282"/>
      <c r="F476" s="283"/>
      <c r="G476" s="282">
        <v>11</v>
      </c>
      <c r="H476" s="282">
        <v>12</v>
      </c>
      <c r="I476" s="282">
        <v>850</v>
      </c>
      <c r="J476" s="282" t="s">
        <v>390</v>
      </c>
      <c r="K476" s="282" t="s">
        <v>445</v>
      </c>
      <c r="L476" s="283">
        <v>44075</v>
      </c>
      <c r="M476" s="281">
        <v>45900</v>
      </c>
      <c r="N476" s="472" t="s">
        <v>214</v>
      </c>
      <c r="O476" s="466" t="s">
        <v>214</v>
      </c>
      <c r="P476" s="285" t="s">
        <v>399</v>
      </c>
      <c r="Q476" s="285" t="s">
        <v>399</v>
      </c>
      <c r="R476" s="288">
        <v>0</v>
      </c>
    </row>
    <row r="477" spans="1:18" hidden="1">
      <c r="A477" s="282">
        <v>4113</v>
      </c>
      <c r="B477" s="194"/>
      <c r="C477" s="282"/>
      <c r="D477" s="282"/>
      <c r="E477" s="282"/>
      <c r="F477" s="283"/>
      <c r="G477" s="282">
        <v>10</v>
      </c>
      <c r="H477" s="282">
        <v>11</v>
      </c>
      <c r="I477" s="282">
        <v>850</v>
      </c>
      <c r="J477" s="282" t="s">
        <v>390</v>
      </c>
      <c r="K477" s="282" t="s">
        <v>445</v>
      </c>
      <c r="L477" s="283">
        <v>44440</v>
      </c>
      <c r="M477" s="281"/>
      <c r="N477" s="472" t="s">
        <v>214</v>
      </c>
      <c r="O477" s="466">
        <v>0</v>
      </c>
      <c r="P477" s="285">
        <v>45901</v>
      </c>
      <c r="Q477" s="285">
        <v>46022</v>
      </c>
      <c r="R477" s="288">
        <v>1</v>
      </c>
    </row>
    <row r="478" spans="1:18" hidden="1">
      <c r="A478" s="282">
        <v>4113</v>
      </c>
      <c r="B478" s="194"/>
      <c r="C478" s="282"/>
      <c r="D478" s="282"/>
      <c r="E478" s="282"/>
      <c r="F478" s="283"/>
      <c r="G478" s="282">
        <v>10</v>
      </c>
      <c r="H478" s="282">
        <v>11</v>
      </c>
      <c r="I478" s="282">
        <v>850</v>
      </c>
      <c r="J478" s="282" t="s">
        <v>390</v>
      </c>
      <c r="K478" s="282" t="s">
        <v>445</v>
      </c>
      <c r="L478" s="283">
        <v>44441</v>
      </c>
      <c r="M478" s="281"/>
      <c r="N478" s="472" t="s">
        <v>214</v>
      </c>
      <c r="O478" s="466">
        <v>0</v>
      </c>
      <c r="P478" s="285">
        <v>45901</v>
      </c>
      <c r="Q478" s="285">
        <v>46022</v>
      </c>
      <c r="R478" s="288">
        <v>1</v>
      </c>
    </row>
    <row r="479" spans="1:18" hidden="1">
      <c r="A479" s="282">
        <v>4113</v>
      </c>
      <c r="B479" s="194"/>
      <c r="C479" s="282"/>
      <c r="D479" s="282"/>
      <c r="E479" s="282"/>
      <c r="F479" s="283"/>
      <c r="G479" s="282">
        <v>10</v>
      </c>
      <c r="H479" s="282">
        <v>11</v>
      </c>
      <c r="I479" s="282">
        <v>850</v>
      </c>
      <c r="J479" s="282" t="s">
        <v>390</v>
      </c>
      <c r="K479" s="282" t="s">
        <v>445</v>
      </c>
      <c r="L479" s="283">
        <v>44440</v>
      </c>
      <c r="M479" s="284"/>
      <c r="N479" s="472" t="s">
        <v>214</v>
      </c>
      <c r="O479" s="466">
        <v>0</v>
      </c>
      <c r="P479" s="285">
        <v>45901</v>
      </c>
      <c r="Q479" s="285">
        <v>46022</v>
      </c>
      <c r="R479" s="288">
        <v>1</v>
      </c>
    </row>
    <row r="480" spans="1:18" hidden="1">
      <c r="A480" s="282">
        <v>4113</v>
      </c>
      <c r="B480" s="194"/>
      <c r="C480" s="282"/>
      <c r="D480" s="282"/>
      <c r="E480" s="282"/>
      <c r="F480" s="283"/>
      <c r="G480" s="282">
        <v>11</v>
      </c>
      <c r="H480" s="282">
        <v>12</v>
      </c>
      <c r="I480" s="282">
        <v>850</v>
      </c>
      <c r="J480" s="282" t="s">
        <v>390</v>
      </c>
      <c r="K480" s="282" t="s">
        <v>445</v>
      </c>
      <c r="L480" s="283">
        <v>44075</v>
      </c>
      <c r="M480" s="281">
        <v>45900</v>
      </c>
      <c r="N480" s="472" t="s">
        <v>214</v>
      </c>
      <c r="O480" s="466">
        <v>0</v>
      </c>
      <c r="P480" s="285" t="s">
        <v>399</v>
      </c>
      <c r="Q480" s="285" t="s">
        <v>399</v>
      </c>
      <c r="R480" s="288">
        <v>0</v>
      </c>
    </row>
    <row r="481" spans="1:18" hidden="1">
      <c r="A481" s="282">
        <v>4113</v>
      </c>
      <c r="B481" s="194"/>
      <c r="C481" s="282"/>
      <c r="D481" s="282"/>
      <c r="E481" s="282"/>
      <c r="F481" s="283"/>
      <c r="G481" s="282">
        <v>7</v>
      </c>
      <c r="H481" s="282">
        <v>8</v>
      </c>
      <c r="I481" s="282">
        <v>850</v>
      </c>
      <c r="J481" s="282" t="s">
        <v>390</v>
      </c>
      <c r="K481" s="282" t="s">
        <v>445</v>
      </c>
      <c r="L481" s="283">
        <v>45536</v>
      </c>
      <c r="M481" s="281"/>
      <c r="N481" s="287" t="s">
        <v>214</v>
      </c>
      <c r="O481" s="466">
        <v>0</v>
      </c>
      <c r="P481" s="285">
        <v>45901</v>
      </c>
      <c r="Q481" s="285">
        <v>46022</v>
      </c>
      <c r="R481" s="288">
        <v>1</v>
      </c>
    </row>
    <row r="482" spans="1:18" hidden="1">
      <c r="A482" s="282">
        <v>4113</v>
      </c>
      <c r="B482" s="194"/>
      <c r="C482" s="282"/>
      <c r="D482" s="282"/>
      <c r="E482" s="282"/>
      <c r="F482" s="283"/>
      <c r="G482" s="282">
        <v>9</v>
      </c>
      <c r="H482" s="282">
        <v>10</v>
      </c>
      <c r="I482" s="282">
        <v>850</v>
      </c>
      <c r="J482" s="282" t="s">
        <v>390</v>
      </c>
      <c r="K482" s="282" t="s">
        <v>445</v>
      </c>
      <c r="L482" s="283">
        <v>44805</v>
      </c>
      <c r="M482" s="281"/>
      <c r="N482" s="287" t="s">
        <v>214</v>
      </c>
      <c r="O482" s="466">
        <v>0</v>
      </c>
      <c r="P482" s="285">
        <v>45901</v>
      </c>
      <c r="Q482" s="285">
        <v>46022</v>
      </c>
      <c r="R482" s="288">
        <v>1</v>
      </c>
    </row>
    <row r="483" spans="1:18" hidden="1">
      <c r="A483" s="282">
        <v>4128</v>
      </c>
      <c r="B483" s="194"/>
      <c r="C483" s="282"/>
      <c r="D483" s="282"/>
      <c r="E483" s="282"/>
      <c r="F483" s="283"/>
      <c r="G483" s="282">
        <v>11</v>
      </c>
      <c r="H483" s="282">
        <v>12</v>
      </c>
      <c r="I483" s="282">
        <v>850</v>
      </c>
      <c r="J483" s="282" t="s">
        <v>390</v>
      </c>
      <c r="K483" s="282" t="s">
        <v>446</v>
      </c>
      <c r="L483" s="283">
        <v>44083</v>
      </c>
      <c r="M483" s="284">
        <v>45900</v>
      </c>
      <c r="N483" s="472" t="s">
        <v>220</v>
      </c>
      <c r="O483" s="466">
        <v>0</v>
      </c>
      <c r="P483" s="285" t="s">
        <v>399</v>
      </c>
      <c r="Q483" s="285" t="s">
        <v>399</v>
      </c>
      <c r="R483" s="288">
        <v>0</v>
      </c>
    </row>
    <row r="484" spans="1:18" hidden="1">
      <c r="A484" s="282">
        <v>4128</v>
      </c>
      <c r="B484" s="194"/>
      <c r="C484" s="282"/>
      <c r="D484" s="282"/>
      <c r="E484" s="282"/>
      <c r="F484" s="283"/>
      <c r="G484" s="282">
        <v>10</v>
      </c>
      <c r="H484" s="282">
        <v>11</v>
      </c>
      <c r="I484" s="282">
        <v>850</v>
      </c>
      <c r="J484" s="282" t="s">
        <v>390</v>
      </c>
      <c r="K484" s="282" t="s">
        <v>447</v>
      </c>
      <c r="L484" s="283">
        <v>44440</v>
      </c>
      <c r="M484" s="284"/>
      <c r="N484" s="287" t="s">
        <v>130</v>
      </c>
      <c r="O484" s="466">
        <v>0</v>
      </c>
      <c r="P484" s="285">
        <v>45901</v>
      </c>
      <c r="Q484" s="285">
        <v>46022</v>
      </c>
      <c r="R484" s="288">
        <v>1</v>
      </c>
    </row>
    <row r="485" spans="1:18" hidden="1">
      <c r="A485" s="282">
        <v>4128</v>
      </c>
      <c r="B485" s="194"/>
      <c r="C485" s="282"/>
      <c r="D485" s="282"/>
      <c r="E485" s="282"/>
      <c r="F485" s="283"/>
      <c r="G485" s="282">
        <v>9</v>
      </c>
      <c r="H485" s="282">
        <v>10</v>
      </c>
      <c r="I485" s="282">
        <v>850</v>
      </c>
      <c r="J485" s="282" t="s">
        <v>390</v>
      </c>
      <c r="K485" s="282" t="s">
        <v>446</v>
      </c>
      <c r="L485" s="283">
        <v>44805</v>
      </c>
      <c r="M485" s="284"/>
      <c r="N485" s="287" t="s">
        <v>220</v>
      </c>
      <c r="O485" s="466">
        <v>0</v>
      </c>
      <c r="P485" s="285">
        <v>45901</v>
      </c>
      <c r="Q485" s="285">
        <v>46022</v>
      </c>
      <c r="R485" s="288">
        <v>1</v>
      </c>
    </row>
    <row r="486" spans="1:18" hidden="1">
      <c r="A486" s="282">
        <v>4128</v>
      </c>
      <c r="B486" s="194"/>
      <c r="C486" s="282"/>
      <c r="D486" s="282"/>
      <c r="E486" s="282"/>
      <c r="F486" s="283"/>
      <c r="G486" s="282">
        <v>8</v>
      </c>
      <c r="H486" s="282">
        <v>9</v>
      </c>
      <c r="I486" s="282">
        <v>850</v>
      </c>
      <c r="J486" s="282" t="s">
        <v>390</v>
      </c>
      <c r="K486" s="282" t="s">
        <v>447</v>
      </c>
      <c r="L486" s="283">
        <v>45170</v>
      </c>
      <c r="M486" s="284"/>
      <c r="N486" s="287" t="s">
        <v>130</v>
      </c>
      <c r="O486" s="466">
        <v>0</v>
      </c>
      <c r="P486" s="285">
        <v>45901</v>
      </c>
      <c r="Q486" s="285">
        <v>46022</v>
      </c>
      <c r="R486" s="288">
        <v>1</v>
      </c>
    </row>
    <row r="487" spans="1:18" hidden="1">
      <c r="A487" s="282">
        <v>4128</v>
      </c>
      <c r="B487" s="194"/>
      <c r="C487" s="479"/>
      <c r="D487" s="479"/>
      <c r="E487" s="479"/>
      <c r="F487" s="480"/>
      <c r="G487" s="479">
        <v>7</v>
      </c>
      <c r="H487" s="282">
        <v>8</v>
      </c>
      <c r="I487" s="282">
        <v>850</v>
      </c>
      <c r="J487" s="282" t="s">
        <v>390</v>
      </c>
      <c r="K487" s="282" t="s">
        <v>447</v>
      </c>
      <c r="L487" s="283">
        <v>45536</v>
      </c>
      <c r="M487" s="284"/>
      <c r="N487" s="195" t="s">
        <v>130</v>
      </c>
      <c r="O487" s="466">
        <v>0</v>
      </c>
      <c r="P487" s="285">
        <v>45901</v>
      </c>
      <c r="Q487" s="285">
        <v>46022</v>
      </c>
      <c r="R487" s="288">
        <v>1</v>
      </c>
    </row>
    <row r="488" spans="1:18" hidden="1">
      <c r="A488" s="282">
        <v>4128</v>
      </c>
      <c r="B488" s="194"/>
      <c r="C488" s="479"/>
      <c r="D488" s="479"/>
      <c r="E488" s="479"/>
      <c r="F488" s="480"/>
      <c r="G488" s="479">
        <v>7</v>
      </c>
      <c r="H488" s="282">
        <v>8</v>
      </c>
      <c r="I488" s="282">
        <v>850</v>
      </c>
      <c r="J488" s="282" t="s">
        <v>390</v>
      </c>
      <c r="K488" s="282" t="s">
        <v>447</v>
      </c>
      <c r="L488" s="283">
        <v>45635</v>
      </c>
      <c r="M488" s="284"/>
      <c r="N488" s="195" t="s">
        <v>130</v>
      </c>
      <c r="O488" s="466">
        <v>0</v>
      </c>
      <c r="P488" s="285">
        <v>45901</v>
      </c>
      <c r="Q488" s="285">
        <v>46022</v>
      </c>
      <c r="R488" s="288">
        <v>1</v>
      </c>
    </row>
    <row r="489" spans="1:18" hidden="1">
      <c r="A489" s="193">
        <v>4128</v>
      </c>
      <c r="B489" s="194"/>
      <c r="C489" s="479"/>
      <c r="D489" s="479"/>
      <c r="E489" s="479"/>
      <c r="F489" s="480"/>
      <c r="G489" s="479">
        <v>10</v>
      </c>
      <c r="H489" s="282">
        <v>11</v>
      </c>
      <c r="I489" s="193">
        <v>850</v>
      </c>
      <c r="J489" s="193" t="s">
        <v>390</v>
      </c>
      <c r="K489" s="193" t="s">
        <v>447</v>
      </c>
      <c r="L489" s="283">
        <v>44440</v>
      </c>
      <c r="M489" s="281"/>
      <c r="N489" s="467" t="s">
        <v>130</v>
      </c>
      <c r="O489" s="466">
        <v>0</v>
      </c>
      <c r="P489" s="285">
        <v>45901</v>
      </c>
      <c r="Q489" s="285">
        <v>46022</v>
      </c>
      <c r="R489" s="288">
        <v>1</v>
      </c>
    </row>
    <row r="490" spans="1:18" hidden="1">
      <c r="A490" s="282">
        <v>4128</v>
      </c>
      <c r="B490" s="194"/>
      <c r="C490" s="282"/>
      <c r="D490" s="282"/>
      <c r="E490" s="282"/>
      <c r="F490" s="283"/>
      <c r="G490" s="193">
        <v>9</v>
      </c>
      <c r="H490" s="282">
        <v>10</v>
      </c>
      <c r="I490" s="282">
        <v>850</v>
      </c>
      <c r="J490" s="282" t="s">
        <v>390</v>
      </c>
      <c r="K490" s="282" t="s">
        <v>447</v>
      </c>
      <c r="L490" s="283">
        <v>44805</v>
      </c>
      <c r="M490" s="284"/>
      <c r="N490" s="194" t="s">
        <v>130</v>
      </c>
      <c r="O490" s="466">
        <v>0</v>
      </c>
      <c r="P490" s="285">
        <v>45901</v>
      </c>
      <c r="Q490" s="285">
        <v>46022</v>
      </c>
      <c r="R490" s="288">
        <v>1</v>
      </c>
    </row>
    <row r="491" spans="1:18" hidden="1">
      <c r="A491" s="282">
        <v>4128</v>
      </c>
      <c r="B491" s="194"/>
      <c r="C491" s="282"/>
      <c r="D491" s="282"/>
      <c r="E491" s="282"/>
      <c r="F491" s="283"/>
      <c r="G491" s="193">
        <v>7</v>
      </c>
      <c r="H491" s="282">
        <v>8</v>
      </c>
      <c r="I491" s="282">
        <v>850</v>
      </c>
      <c r="J491" s="282" t="s">
        <v>390</v>
      </c>
      <c r="K491" s="282" t="s">
        <v>447</v>
      </c>
      <c r="L491" s="283">
        <v>45831</v>
      </c>
      <c r="M491" s="284"/>
      <c r="N491" s="194" t="s">
        <v>130</v>
      </c>
      <c r="O491" s="466">
        <v>0</v>
      </c>
      <c r="P491" s="285">
        <v>45901</v>
      </c>
      <c r="Q491" s="285">
        <v>46022</v>
      </c>
      <c r="R491" s="288">
        <v>1</v>
      </c>
    </row>
    <row r="492" spans="1:18" hidden="1">
      <c r="A492" s="282">
        <v>4128</v>
      </c>
      <c r="B492" s="194"/>
      <c r="C492" s="282"/>
      <c r="D492" s="282"/>
      <c r="E492" s="282"/>
      <c r="F492" s="283"/>
      <c r="G492" s="193">
        <v>8</v>
      </c>
      <c r="H492" s="282">
        <v>9</v>
      </c>
      <c r="I492" s="282">
        <v>850</v>
      </c>
      <c r="J492" s="282" t="s">
        <v>390</v>
      </c>
      <c r="K492" s="282" t="s">
        <v>447</v>
      </c>
      <c r="L492" s="283">
        <v>45170</v>
      </c>
      <c r="M492" s="284"/>
      <c r="N492" s="194" t="s">
        <v>130</v>
      </c>
      <c r="O492" s="466">
        <v>0</v>
      </c>
      <c r="P492" s="285">
        <v>45901</v>
      </c>
      <c r="Q492" s="285">
        <v>46022</v>
      </c>
      <c r="R492" s="288">
        <v>1</v>
      </c>
    </row>
    <row r="493" spans="1:18" hidden="1">
      <c r="A493" s="193">
        <v>4128</v>
      </c>
      <c r="B493" s="194"/>
      <c r="C493" s="282"/>
      <c r="D493" s="282"/>
      <c r="E493" s="282"/>
      <c r="F493" s="283"/>
      <c r="G493" s="193">
        <v>9</v>
      </c>
      <c r="H493" s="282">
        <v>10</v>
      </c>
      <c r="I493" s="282">
        <v>850</v>
      </c>
      <c r="J493" s="282" t="s">
        <v>390</v>
      </c>
      <c r="K493" s="282" t="s">
        <v>447</v>
      </c>
      <c r="L493" s="283">
        <v>44805</v>
      </c>
      <c r="M493" s="281"/>
      <c r="N493" s="194" t="s">
        <v>130</v>
      </c>
      <c r="O493" s="466">
        <v>0</v>
      </c>
      <c r="P493" s="285">
        <v>45901</v>
      </c>
      <c r="Q493" s="285">
        <v>46022</v>
      </c>
      <c r="R493" s="288">
        <v>1</v>
      </c>
    </row>
    <row r="494" spans="1:18" hidden="1">
      <c r="A494" s="193">
        <v>4128</v>
      </c>
      <c r="B494" s="194"/>
      <c r="C494" s="282"/>
      <c r="D494" s="282"/>
      <c r="E494" s="282"/>
      <c r="F494" s="283"/>
      <c r="G494" s="193">
        <v>8</v>
      </c>
      <c r="H494" s="282">
        <v>9</v>
      </c>
      <c r="I494" s="282">
        <v>850</v>
      </c>
      <c r="J494" s="282" t="s">
        <v>390</v>
      </c>
      <c r="K494" s="282" t="s">
        <v>447</v>
      </c>
      <c r="L494" s="283">
        <v>45170</v>
      </c>
      <c r="M494" s="281"/>
      <c r="N494" s="194" t="s">
        <v>130</v>
      </c>
      <c r="O494" s="466">
        <v>0</v>
      </c>
      <c r="P494" s="285">
        <v>45901</v>
      </c>
      <c r="Q494" s="285">
        <v>46022</v>
      </c>
      <c r="R494" s="288">
        <v>1</v>
      </c>
    </row>
    <row r="495" spans="1:18" hidden="1">
      <c r="A495" s="282">
        <v>4128</v>
      </c>
      <c r="B495" s="194"/>
      <c r="C495" s="282"/>
      <c r="D495" s="282"/>
      <c r="E495" s="282"/>
      <c r="F495" s="283"/>
      <c r="G495" s="193">
        <v>10</v>
      </c>
      <c r="H495" s="282">
        <v>11</v>
      </c>
      <c r="I495" s="282">
        <v>850</v>
      </c>
      <c r="J495" s="282" t="s">
        <v>390</v>
      </c>
      <c r="K495" s="282" t="s">
        <v>447</v>
      </c>
      <c r="L495" s="283">
        <v>44805</v>
      </c>
      <c r="M495" s="284"/>
      <c r="N495" s="194" t="s">
        <v>130</v>
      </c>
      <c r="O495" s="466">
        <v>0</v>
      </c>
      <c r="P495" s="285">
        <v>45901</v>
      </c>
      <c r="Q495" s="285">
        <v>46022</v>
      </c>
      <c r="R495" s="288">
        <v>1</v>
      </c>
    </row>
    <row r="496" spans="1:18" hidden="1">
      <c r="A496" s="282">
        <v>4128</v>
      </c>
      <c r="B496" s="194"/>
      <c r="C496" s="282"/>
      <c r="D496" s="282"/>
      <c r="E496" s="282"/>
      <c r="F496" s="283"/>
      <c r="G496" s="282">
        <v>8</v>
      </c>
      <c r="H496" s="282">
        <v>9</v>
      </c>
      <c r="I496" s="282">
        <v>850</v>
      </c>
      <c r="J496" s="282" t="s">
        <v>390</v>
      </c>
      <c r="K496" s="282" t="s">
        <v>447</v>
      </c>
      <c r="L496" s="283">
        <v>45170</v>
      </c>
      <c r="M496" s="281"/>
      <c r="N496" s="470" t="s">
        <v>130</v>
      </c>
      <c r="O496" s="466">
        <v>0</v>
      </c>
      <c r="P496" s="285">
        <v>45901</v>
      </c>
      <c r="Q496" s="285">
        <v>46022</v>
      </c>
      <c r="R496" s="288">
        <v>1</v>
      </c>
    </row>
    <row r="497" spans="1:18" hidden="1">
      <c r="A497" s="282">
        <v>4128</v>
      </c>
      <c r="B497" s="194"/>
      <c r="C497" s="282"/>
      <c r="D497" s="282"/>
      <c r="E497" s="282"/>
      <c r="F497" s="283"/>
      <c r="G497" s="282">
        <v>8</v>
      </c>
      <c r="H497" s="282">
        <v>9</v>
      </c>
      <c r="I497" s="282">
        <v>850</v>
      </c>
      <c r="J497" s="282" t="s">
        <v>390</v>
      </c>
      <c r="K497" s="282" t="s">
        <v>446</v>
      </c>
      <c r="L497" s="283">
        <v>45170</v>
      </c>
      <c r="M497" s="281"/>
      <c r="N497" s="470" t="s">
        <v>220</v>
      </c>
      <c r="O497" s="466">
        <v>0</v>
      </c>
      <c r="P497" s="285">
        <v>45901</v>
      </c>
      <c r="Q497" s="285">
        <v>46022</v>
      </c>
      <c r="R497" s="288">
        <v>1</v>
      </c>
    </row>
    <row r="498" spans="1:18" hidden="1">
      <c r="A498" s="193">
        <v>4128</v>
      </c>
      <c r="B498" s="194"/>
      <c r="C498" s="193"/>
      <c r="D498" s="193"/>
      <c r="E498" s="193"/>
      <c r="F498" s="283"/>
      <c r="G498" s="193">
        <v>10</v>
      </c>
      <c r="H498" s="282">
        <v>11</v>
      </c>
      <c r="I498" s="193">
        <v>850</v>
      </c>
      <c r="J498" s="193" t="s">
        <v>390</v>
      </c>
      <c r="K498" s="193" t="s">
        <v>447</v>
      </c>
      <c r="L498" s="283">
        <v>44440</v>
      </c>
      <c r="M498" s="281"/>
      <c r="N498" s="194" t="s">
        <v>130</v>
      </c>
      <c r="O498" s="466">
        <v>0</v>
      </c>
      <c r="P498" s="285">
        <v>45901</v>
      </c>
      <c r="Q498" s="285">
        <v>46022</v>
      </c>
      <c r="R498" s="288">
        <v>1</v>
      </c>
    </row>
    <row r="499" spans="1:18" hidden="1">
      <c r="A499" s="282">
        <v>4130</v>
      </c>
      <c r="B499" s="194"/>
      <c r="C499" s="479"/>
      <c r="D499" s="479"/>
      <c r="E499" s="479"/>
      <c r="F499" s="480"/>
      <c r="G499" s="479">
        <v>7</v>
      </c>
      <c r="H499" s="282">
        <v>8</v>
      </c>
      <c r="I499" s="282">
        <v>850</v>
      </c>
      <c r="J499" s="282" t="s">
        <v>390</v>
      </c>
      <c r="K499" s="282" t="s">
        <v>448</v>
      </c>
      <c r="L499" s="283">
        <v>45901</v>
      </c>
      <c r="M499" s="284"/>
      <c r="N499" s="194" t="s">
        <v>130</v>
      </c>
      <c r="O499" s="466">
        <v>0</v>
      </c>
      <c r="P499" s="285">
        <v>45901</v>
      </c>
      <c r="Q499" s="285">
        <v>46022</v>
      </c>
      <c r="R499" s="288">
        <v>1</v>
      </c>
    </row>
    <row r="500" spans="1:18" hidden="1">
      <c r="A500" s="282">
        <v>4130</v>
      </c>
      <c r="B500" s="194"/>
      <c r="C500" s="479"/>
      <c r="D500" s="479"/>
      <c r="E500" s="479"/>
      <c r="F500" s="480"/>
      <c r="G500" s="479">
        <v>8</v>
      </c>
      <c r="H500" s="282">
        <v>9</v>
      </c>
      <c r="I500" s="282">
        <v>850</v>
      </c>
      <c r="J500" s="282" t="s">
        <v>390</v>
      </c>
      <c r="K500" s="282" t="s">
        <v>448</v>
      </c>
      <c r="L500" s="283">
        <v>45698</v>
      </c>
      <c r="M500" s="284">
        <v>45834</v>
      </c>
      <c r="N500" s="194" t="s">
        <v>130</v>
      </c>
      <c r="O500" s="466">
        <v>0</v>
      </c>
      <c r="P500" s="285" t="s">
        <v>399</v>
      </c>
      <c r="Q500" s="285" t="s">
        <v>399</v>
      </c>
      <c r="R500" s="288">
        <v>0</v>
      </c>
    </row>
    <row r="501" spans="1:18" hidden="1">
      <c r="A501" s="282">
        <v>4130</v>
      </c>
      <c r="B501" s="194"/>
      <c r="C501" s="479"/>
      <c r="D501" s="479"/>
      <c r="E501" s="479"/>
      <c r="F501" s="480"/>
      <c r="G501" s="479">
        <v>8</v>
      </c>
      <c r="H501" s="282">
        <v>9</v>
      </c>
      <c r="I501" s="282">
        <v>850</v>
      </c>
      <c r="J501" s="282" t="s">
        <v>390</v>
      </c>
      <c r="K501" s="282" t="s">
        <v>448</v>
      </c>
      <c r="L501" s="283">
        <v>45540</v>
      </c>
      <c r="M501" s="284"/>
      <c r="N501" s="194" t="s">
        <v>130</v>
      </c>
      <c r="O501" s="466">
        <v>0</v>
      </c>
      <c r="P501" s="285">
        <v>45901</v>
      </c>
      <c r="Q501" s="285">
        <v>46022</v>
      </c>
      <c r="R501" s="288">
        <v>1</v>
      </c>
    </row>
    <row r="502" spans="1:18" hidden="1">
      <c r="A502" s="282">
        <v>4130</v>
      </c>
      <c r="B502" s="194"/>
      <c r="C502" s="479"/>
      <c r="D502" s="479"/>
      <c r="E502" s="479"/>
      <c r="F502" s="480"/>
      <c r="G502" s="479">
        <v>6</v>
      </c>
      <c r="H502" s="282">
        <v>7</v>
      </c>
      <c r="I502" s="282">
        <v>850</v>
      </c>
      <c r="J502" s="282" t="s">
        <v>390</v>
      </c>
      <c r="K502" s="282" t="s">
        <v>448</v>
      </c>
      <c r="L502" s="283">
        <v>45901</v>
      </c>
      <c r="M502" s="284">
        <v>45952</v>
      </c>
      <c r="N502" s="194" t="s">
        <v>130</v>
      </c>
      <c r="O502" s="466">
        <v>0</v>
      </c>
      <c r="P502" s="285">
        <v>45901</v>
      </c>
      <c r="Q502" s="285">
        <v>45952</v>
      </c>
      <c r="R502" s="288">
        <v>0.43</v>
      </c>
    </row>
    <row r="503" spans="1:18" hidden="1">
      <c r="A503" s="282">
        <v>4130</v>
      </c>
      <c r="B503" s="194"/>
      <c r="C503" s="479"/>
      <c r="D503" s="479"/>
      <c r="E503" s="479"/>
      <c r="F503" s="480"/>
      <c r="G503" s="479">
        <v>6</v>
      </c>
      <c r="H503" s="282">
        <v>7</v>
      </c>
      <c r="I503" s="282">
        <v>850</v>
      </c>
      <c r="J503" s="282" t="s">
        <v>390</v>
      </c>
      <c r="K503" s="282" t="s">
        <v>448</v>
      </c>
      <c r="L503" s="283">
        <v>45901</v>
      </c>
      <c r="M503" s="284"/>
      <c r="N503" s="194" t="s">
        <v>130</v>
      </c>
      <c r="O503" s="466">
        <v>0</v>
      </c>
      <c r="P503" s="285">
        <v>45901</v>
      </c>
      <c r="Q503" s="285">
        <v>46022</v>
      </c>
      <c r="R503" s="288">
        <v>1</v>
      </c>
    </row>
    <row r="504" spans="1:18" hidden="1">
      <c r="A504" s="193">
        <v>4130</v>
      </c>
      <c r="B504" s="194"/>
      <c r="C504" s="282"/>
      <c r="D504" s="282"/>
      <c r="E504" s="282"/>
      <c r="F504" s="283"/>
      <c r="G504" s="193">
        <v>6</v>
      </c>
      <c r="H504" s="282">
        <v>7</v>
      </c>
      <c r="I504" s="282">
        <v>850</v>
      </c>
      <c r="J504" s="282" t="s">
        <v>390</v>
      </c>
      <c r="K504" s="282" t="s">
        <v>448</v>
      </c>
      <c r="L504" s="283">
        <v>45901</v>
      </c>
      <c r="M504" s="281">
        <v>45979</v>
      </c>
      <c r="N504" s="470" t="s">
        <v>130</v>
      </c>
      <c r="O504" s="466">
        <v>0</v>
      </c>
      <c r="P504" s="285">
        <v>45901</v>
      </c>
      <c r="Q504" s="285">
        <v>45979</v>
      </c>
      <c r="R504" s="288">
        <v>0.65</v>
      </c>
    </row>
    <row r="505" spans="1:18" hidden="1">
      <c r="A505" s="193">
        <v>4130</v>
      </c>
      <c r="B505" s="194"/>
      <c r="C505" s="282"/>
      <c r="D505" s="282"/>
      <c r="E505" s="282"/>
      <c r="F505" s="283"/>
      <c r="G505" s="193">
        <v>7</v>
      </c>
      <c r="H505" s="282">
        <v>8</v>
      </c>
      <c r="I505" s="282">
        <v>850</v>
      </c>
      <c r="J505" s="282" t="s">
        <v>390</v>
      </c>
      <c r="K505" s="282" t="s">
        <v>448</v>
      </c>
      <c r="L505" s="283">
        <v>45621</v>
      </c>
      <c r="M505" s="281"/>
      <c r="N505" s="470" t="s">
        <v>130</v>
      </c>
      <c r="O505" s="466">
        <v>0</v>
      </c>
      <c r="P505" s="285">
        <v>45901</v>
      </c>
      <c r="Q505" s="285">
        <v>46022</v>
      </c>
      <c r="R505" s="288">
        <v>1</v>
      </c>
    </row>
    <row r="506" spans="1:18" hidden="1">
      <c r="A506" s="193">
        <v>4130</v>
      </c>
      <c r="B506" s="194"/>
      <c r="C506" s="193"/>
      <c r="D506" s="193"/>
      <c r="E506" s="193"/>
      <c r="F506" s="283"/>
      <c r="G506" s="193">
        <v>7</v>
      </c>
      <c r="H506" s="282">
        <v>8</v>
      </c>
      <c r="I506" s="193">
        <v>850</v>
      </c>
      <c r="J506" s="193" t="s">
        <v>390</v>
      </c>
      <c r="K506" s="193" t="s">
        <v>448</v>
      </c>
      <c r="L506" s="283">
        <v>45540</v>
      </c>
      <c r="M506" s="281"/>
      <c r="N506" s="194" t="s">
        <v>130</v>
      </c>
      <c r="O506" s="466">
        <v>0</v>
      </c>
      <c r="P506" s="285">
        <v>45901</v>
      </c>
      <c r="Q506" s="285">
        <v>46022</v>
      </c>
      <c r="R506" s="288">
        <v>1</v>
      </c>
    </row>
    <row r="507" spans="1:18" hidden="1">
      <c r="A507" s="193">
        <v>4130</v>
      </c>
      <c r="B507" s="194"/>
      <c r="C507" s="193"/>
      <c r="D507" s="193"/>
      <c r="E507" s="193"/>
      <c r="F507" s="283"/>
      <c r="G507" s="193">
        <v>8</v>
      </c>
      <c r="H507" s="282">
        <v>9</v>
      </c>
      <c r="I507" s="193">
        <v>850</v>
      </c>
      <c r="J507" s="193" t="s">
        <v>390</v>
      </c>
      <c r="K507" s="193" t="s">
        <v>448</v>
      </c>
      <c r="L507" s="283">
        <v>45572</v>
      </c>
      <c r="M507" s="281"/>
      <c r="N507" s="194" t="s">
        <v>130</v>
      </c>
      <c r="O507" s="466">
        <v>0</v>
      </c>
      <c r="P507" s="285">
        <v>45901</v>
      </c>
      <c r="Q507" s="285">
        <v>46022</v>
      </c>
      <c r="R507" s="288">
        <v>1</v>
      </c>
    </row>
    <row r="508" spans="1:18" hidden="1">
      <c r="A508" s="193">
        <v>4130</v>
      </c>
      <c r="B508" s="194"/>
      <c r="C508" s="193"/>
      <c r="D508" s="193"/>
      <c r="E508" s="193"/>
      <c r="F508" s="283"/>
      <c r="G508" s="193">
        <v>9</v>
      </c>
      <c r="H508" s="282">
        <v>10</v>
      </c>
      <c r="I508" s="193">
        <v>850</v>
      </c>
      <c r="J508" s="193" t="s">
        <v>390</v>
      </c>
      <c r="K508" s="193" t="s">
        <v>448</v>
      </c>
      <c r="L508" s="283">
        <v>45615</v>
      </c>
      <c r="M508" s="281"/>
      <c r="N508" s="194" t="s">
        <v>130</v>
      </c>
      <c r="O508" s="466">
        <v>0</v>
      </c>
      <c r="P508" s="285">
        <v>45901</v>
      </c>
      <c r="Q508" s="285">
        <v>46022</v>
      </c>
      <c r="R508" s="288">
        <v>1</v>
      </c>
    </row>
    <row r="509" spans="1:18" hidden="1">
      <c r="A509" s="282">
        <v>4130</v>
      </c>
      <c r="B509" s="194"/>
      <c r="C509" s="282"/>
      <c r="D509" s="282"/>
      <c r="E509" s="282"/>
      <c r="F509" s="283"/>
      <c r="G509" s="282">
        <v>6</v>
      </c>
      <c r="H509" s="282">
        <v>7</v>
      </c>
      <c r="I509" s="282">
        <v>850</v>
      </c>
      <c r="J509" s="282" t="s">
        <v>390</v>
      </c>
      <c r="K509" s="282" t="s">
        <v>448</v>
      </c>
      <c r="L509" s="283">
        <v>45901</v>
      </c>
      <c r="M509" s="284"/>
      <c r="N509" s="194" t="s">
        <v>130</v>
      </c>
      <c r="O509" s="466">
        <v>0</v>
      </c>
      <c r="P509" s="285">
        <v>45901</v>
      </c>
      <c r="Q509" s="285">
        <v>46022</v>
      </c>
      <c r="R509" s="288">
        <v>1</v>
      </c>
    </row>
    <row r="510" spans="1:18" hidden="1">
      <c r="A510" s="282">
        <v>4133</v>
      </c>
      <c r="B510" s="194"/>
      <c r="C510" s="282"/>
      <c r="D510" s="282"/>
      <c r="E510" s="282"/>
      <c r="F510" s="283"/>
      <c r="G510" s="282">
        <v>7</v>
      </c>
      <c r="H510" s="282">
        <v>8</v>
      </c>
      <c r="I510" s="282">
        <v>850</v>
      </c>
      <c r="J510" s="282" t="s">
        <v>390</v>
      </c>
      <c r="K510" s="282" t="s">
        <v>449</v>
      </c>
      <c r="L510" s="283">
        <v>45901</v>
      </c>
      <c r="M510" s="281"/>
      <c r="N510" s="194" t="s">
        <v>221</v>
      </c>
      <c r="O510" s="466">
        <v>0</v>
      </c>
      <c r="P510" s="285">
        <v>45901</v>
      </c>
      <c r="Q510" s="285">
        <v>46022</v>
      </c>
      <c r="R510" s="288">
        <v>1</v>
      </c>
    </row>
    <row r="511" spans="1:18" hidden="1">
      <c r="A511" s="194">
        <v>4133</v>
      </c>
      <c r="B511" s="194"/>
      <c r="C511" s="193"/>
      <c r="D511" s="193"/>
      <c r="E511" s="193"/>
      <c r="F511" s="283"/>
      <c r="G511" s="193">
        <v>9</v>
      </c>
      <c r="H511" s="282">
        <v>10</v>
      </c>
      <c r="I511" s="193">
        <v>850</v>
      </c>
      <c r="J511" s="193" t="s">
        <v>390</v>
      </c>
      <c r="K511" s="193" t="s">
        <v>449</v>
      </c>
      <c r="L511" s="283">
        <v>45735</v>
      </c>
      <c r="M511" s="281"/>
      <c r="N511" s="194" t="s">
        <v>221</v>
      </c>
      <c r="O511" s="466">
        <v>0</v>
      </c>
      <c r="P511" s="285">
        <v>45901</v>
      </c>
      <c r="Q511" s="285">
        <v>46022</v>
      </c>
      <c r="R511" s="288">
        <v>1</v>
      </c>
    </row>
    <row r="512" spans="1:18" hidden="1">
      <c r="A512" s="194">
        <v>4133</v>
      </c>
      <c r="B512" s="194"/>
      <c r="C512" s="193"/>
      <c r="D512" s="193"/>
      <c r="E512" s="193"/>
      <c r="F512" s="283"/>
      <c r="G512" s="193">
        <v>11</v>
      </c>
      <c r="H512" s="282">
        <v>12</v>
      </c>
      <c r="I512" s="193">
        <v>850</v>
      </c>
      <c r="J512" s="193" t="s">
        <v>390</v>
      </c>
      <c r="K512" s="193" t="s">
        <v>449</v>
      </c>
      <c r="L512" s="283">
        <v>44075</v>
      </c>
      <c r="M512" s="281">
        <v>45900</v>
      </c>
      <c r="N512" s="194" t="s">
        <v>221</v>
      </c>
      <c r="O512" s="466">
        <v>0</v>
      </c>
      <c r="P512" s="285" t="s">
        <v>399</v>
      </c>
      <c r="Q512" s="285" t="s">
        <v>399</v>
      </c>
      <c r="R512" s="288">
        <v>0</v>
      </c>
    </row>
    <row r="513" spans="1:18" hidden="1">
      <c r="A513" s="470">
        <v>4133</v>
      </c>
      <c r="B513" s="194"/>
      <c r="C513" s="282"/>
      <c r="D513" s="282"/>
      <c r="E513" s="282"/>
      <c r="F513" s="283"/>
      <c r="G513" s="282">
        <v>7</v>
      </c>
      <c r="H513" s="282">
        <v>8</v>
      </c>
      <c r="I513" s="282">
        <v>850</v>
      </c>
      <c r="J513" s="282" t="s">
        <v>390</v>
      </c>
      <c r="K513" s="282" t="s">
        <v>449</v>
      </c>
      <c r="L513" s="283">
        <v>45536</v>
      </c>
      <c r="M513" s="284"/>
      <c r="N513" s="194" t="s">
        <v>221</v>
      </c>
      <c r="O513" s="466">
        <v>0</v>
      </c>
      <c r="P513" s="285">
        <v>45901</v>
      </c>
      <c r="Q513" s="285">
        <v>46022</v>
      </c>
      <c r="R513" s="288">
        <v>1</v>
      </c>
    </row>
    <row r="514" spans="1:18" hidden="1">
      <c r="A514" s="193">
        <v>4133</v>
      </c>
      <c r="B514" s="194"/>
      <c r="C514" s="193"/>
      <c r="D514" s="193"/>
      <c r="E514" s="193"/>
      <c r="F514" s="283"/>
      <c r="G514" s="193">
        <v>11</v>
      </c>
      <c r="H514" s="282">
        <v>12</v>
      </c>
      <c r="I514" s="193">
        <v>850</v>
      </c>
      <c r="J514" s="193" t="s">
        <v>390</v>
      </c>
      <c r="K514" s="193" t="s">
        <v>449</v>
      </c>
      <c r="L514" s="283">
        <v>44075</v>
      </c>
      <c r="M514" s="281">
        <v>45900</v>
      </c>
      <c r="N514" s="194" t="s">
        <v>221</v>
      </c>
      <c r="O514" s="466">
        <v>0</v>
      </c>
      <c r="P514" s="285" t="s">
        <v>399</v>
      </c>
      <c r="Q514" s="285" t="s">
        <v>399</v>
      </c>
      <c r="R514" s="288">
        <v>0</v>
      </c>
    </row>
    <row r="515" spans="1:18" hidden="1">
      <c r="A515" s="193">
        <v>4133</v>
      </c>
      <c r="B515" s="194"/>
      <c r="C515" s="193"/>
      <c r="D515" s="193"/>
      <c r="E515" s="193"/>
      <c r="F515" s="283"/>
      <c r="G515" s="193">
        <v>10</v>
      </c>
      <c r="H515" s="282">
        <v>11</v>
      </c>
      <c r="I515" s="193">
        <v>850</v>
      </c>
      <c r="J515" s="193" t="s">
        <v>390</v>
      </c>
      <c r="K515" s="193" t="s">
        <v>449</v>
      </c>
      <c r="L515" s="283">
        <v>44620</v>
      </c>
      <c r="M515" s="281"/>
      <c r="N515" s="194" t="s">
        <v>221</v>
      </c>
      <c r="O515" s="466">
        <v>0</v>
      </c>
      <c r="P515" s="285">
        <v>45901</v>
      </c>
      <c r="Q515" s="285">
        <v>46022</v>
      </c>
      <c r="R515" s="288">
        <v>1</v>
      </c>
    </row>
    <row r="516" spans="1:18" hidden="1">
      <c r="A516" s="470">
        <v>4133</v>
      </c>
      <c r="B516" s="194"/>
      <c r="C516" s="282"/>
      <c r="D516" s="282"/>
      <c r="E516" s="282"/>
      <c r="F516" s="283"/>
      <c r="G516" s="282">
        <v>7</v>
      </c>
      <c r="H516" s="282">
        <v>8</v>
      </c>
      <c r="I516" s="282">
        <v>850</v>
      </c>
      <c r="J516" s="282" t="s">
        <v>390</v>
      </c>
      <c r="K516" s="282" t="s">
        <v>449</v>
      </c>
      <c r="L516" s="283">
        <v>45536</v>
      </c>
      <c r="M516" s="284"/>
      <c r="N516" s="194" t="s">
        <v>221</v>
      </c>
      <c r="O516" s="466">
        <v>0</v>
      </c>
      <c r="P516" s="285">
        <v>45901</v>
      </c>
      <c r="Q516" s="285">
        <v>46022</v>
      </c>
      <c r="R516" s="288">
        <v>1</v>
      </c>
    </row>
    <row r="517" spans="1:18" hidden="1">
      <c r="A517" s="470">
        <v>4133</v>
      </c>
      <c r="B517" s="194"/>
      <c r="C517" s="479"/>
      <c r="D517" s="479"/>
      <c r="E517" s="479"/>
      <c r="F517" s="480"/>
      <c r="G517" s="479">
        <v>7</v>
      </c>
      <c r="H517" s="282">
        <v>8</v>
      </c>
      <c r="I517" s="282">
        <v>850</v>
      </c>
      <c r="J517" s="282" t="s">
        <v>390</v>
      </c>
      <c r="K517" s="282" t="s">
        <v>449</v>
      </c>
      <c r="L517" s="283">
        <v>45536</v>
      </c>
      <c r="M517" s="471"/>
      <c r="N517" s="194" t="s">
        <v>221</v>
      </c>
      <c r="O517" s="466">
        <v>0</v>
      </c>
      <c r="P517" s="285">
        <v>45901</v>
      </c>
      <c r="Q517" s="285">
        <v>46022</v>
      </c>
      <c r="R517" s="288">
        <v>1</v>
      </c>
    </row>
    <row r="518" spans="1:18" hidden="1">
      <c r="A518" s="470">
        <v>4133</v>
      </c>
      <c r="B518" s="194"/>
      <c r="C518" s="479"/>
      <c r="D518" s="479"/>
      <c r="E518" s="479"/>
      <c r="F518" s="480"/>
      <c r="G518" s="479">
        <v>8</v>
      </c>
      <c r="H518" s="282">
        <v>9</v>
      </c>
      <c r="I518" s="282">
        <v>850</v>
      </c>
      <c r="J518" s="282" t="s">
        <v>390</v>
      </c>
      <c r="K518" s="282" t="s">
        <v>449</v>
      </c>
      <c r="L518" s="283">
        <v>45170</v>
      </c>
      <c r="M518" s="471"/>
      <c r="N518" s="194" t="s">
        <v>221</v>
      </c>
      <c r="O518" s="466">
        <v>0</v>
      </c>
      <c r="P518" s="285">
        <v>45901</v>
      </c>
      <c r="Q518" s="285">
        <v>46022</v>
      </c>
      <c r="R518" s="288">
        <v>1</v>
      </c>
    </row>
    <row r="519" spans="1:18" hidden="1">
      <c r="A519" s="470">
        <v>4133</v>
      </c>
      <c r="B519" s="194"/>
      <c r="C519" s="282"/>
      <c r="D519" s="282"/>
      <c r="E519" s="282"/>
      <c r="F519" s="283"/>
      <c r="G519" s="282">
        <v>9</v>
      </c>
      <c r="H519" s="282">
        <v>10</v>
      </c>
      <c r="I519" s="282">
        <v>850</v>
      </c>
      <c r="J519" s="282" t="s">
        <v>390</v>
      </c>
      <c r="K519" s="282" t="s">
        <v>449</v>
      </c>
      <c r="L519" s="283">
        <v>45170</v>
      </c>
      <c r="M519" s="281"/>
      <c r="N519" s="194" t="s">
        <v>221</v>
      </c>
      <c r="O519" s="466">
        <v>0</v>
      </c>
      <c r="P519" s="285">
        <v>45901</v>
      </c>
      <c r="Q519" s="285">
        <v>46022</v>
      </c>
      <c r="R519" s="288">
        <v>1</v>
      </c>
    </row>
    <row r="520" spans="1:18" hidden="1">
      <c r="A520" s="470">
        <v>4133</v>
      </c>
      <c r="B520" s="194"/>
      <c r="C520" s="282"/>
      <c r="D520" s="282"/>
      <c r="E520" s="282"/>
      <c r="F520" s="283"/>
      <c r="G520" s="282">
        <v>8</v>
      </c>
      <c r="H520" s="282">
        <v>9</v>
      </c>
      <c r="I520" s="282">
        <v>850</v>
      </c>
      <c r="J520" s="282" t="s">
        <v>390</v>
      </c>
      <c r="K520" s="282" t="s">
        <v>449</v>
      </c>
      <c r="L520" s="283">
        <v>45170</v>
      </c>
      <c r="M520" s="284"/>
      <c r="N520" s="472" t="s">
        <v>221</v>
      </c>
      <c r="O520" s="466">
        <v>0</v>
      </c>
      <c r="P520" s="285">
        <v>45901</v>
      </c>
      <c r="Q520" s="285">
        <v>46022</v>
      </c>
      <c r="R520" s="288">
        <v>1</v>
      </c>
    </row>
    <row r="521" spans="1:18" hidden="1">
      <c r="A521" s="194">
        <v>4143</v>
      </c>
      <c r="B521" s="194"/>
      <c r="C521" s="193"/>
      <c r="D521" s="193"/>
      <c r="E521" s="193"/>
      <c r="F521" s="283"/>
      <c r="G521" s="193">
        <v>10</v>
      </c>
      <c r="H521" s="282">
        <v>11</v>
      </c>
      <c r="I521" s="193">
        <v>850</v>
      </c>
      <c r="J521" s="193" t="s">
        <v>390</v>
      </c>
      <c r="K521" s="193" t="s">
        <v>450</v>
      </c>
      <c r="L521" s="283">
        <v>44805</v>
      </c>
      <c r="M521" s="281"/>
      <c r="N521" s="194" t="s">
        <v>141</v>
      </c>
      <c r="O521" s="466">
        <v>0</v>
      </c>
      <c r="P521" s="285">
        <v>45901</v>
      </c>
      <c r="Q521" s="285">
        <v>46022</v>
      </c>
      <c r="R521" s="288">
        <v>1</v>
      </c>
    </row>
    <row r="522" spans="1:18" hidden="1">
      <c r="A522" s="470">
        <v>4143</v>
      </c>
      <c r="B522" s="194"/>
      <c r="C522" s="282"/>
      <c r="D522" s="282"/>
      <c r="E522" s="282"/>
      <c r="F522" s="283"/>
      <c r="G522" s="282">
        <v>6</v>
      </c>
      <c r="H522" s="282">
        <v>7</v>
      </c>
      <c r="I522" s="282">
        <v>850</v>
      </c>
      <c r="J522" s="282" t="s">
        <v>390</v>
      </c>
      <c r="K522" s="282" t="s">
        <v>450</v>
      </c>
      <c r="L522" s="283">
        <v>45901</v>
      </c>
      <c r="M522" s="484"/>
      <c r="N522" s="472" t="s">
        <v>141</v>
      </c>
      <c r="O522" s="466">
        <v>0</v>
      </c>
      <c r="P522" s="285">
        <v>45901</v>
      </c>
      <c r="Q522" s="285">
        <v>46022</v>
      </c>
      <c r="R522" s="288">
        <v>1</v>
      </c>
    </row>
    <row r="523" spans="1:18" hidden="1">
      <c r="A523" s="194">
        <v>4143</v>
      </c>
      <c r="B523" s="194"/>
      <c r="C523" s="193"/>
      <c r="D523" s="193"/>
      <c r="E523" s="193"/>
      <c r="F523" s="283"/>
      <c r="G523" s="193">
        <v>8</v>
      </c>
      <c r="H523" s="282">
        <v>9</v>
      </c>
      <c r="I523" s="193">
        <v>850</v>
      </c>
      <c r="J523" s="193" t="s">
        <v>390</v>
      </c>
      <c r="K523" s="193" t="s">
        <v>450</v>
      </c>
      <c r="L523" s="283">
        <v>45536</v>
      </c>
      <c r="M523" s="281"/>
      <c r="N523" s="194" t="s">
        <v>141</v>
      </c>
      <c r="O523" s="466">
        <v>0</v>
      </c>
      <c r="P523" s="285">
        <v>45901</v>
      </c>
      <c r="Q523" s="285">
        <v>46022</v>
      </c>
      <c r="R523" s="288">
        <v>1</v>
      </c>
    </row>
    <row r="524" spans="1:18" hidden="1">
      <c r="A524" s="194">
        <v>4143</v>
      </c>
      <c r="B524" s="194"/>
      <c r="C524" s="193"/>
      <c r="D524" s="193"/>
      <c r="E524" s="193"/>
      <c r="F524" s="283"/>
      <c r="G524" s="193">
        <v>9</v>
      </c>
      <c r="H524" s="282">
        <v>10</v>
      </c>
      <c r="I524" s="193">
        <v>850</v>
      </c>
      <c r="J524" s="193" t="s">
        <v>390</v>
      </c>
      <c r="K524" s="193" t="s">
        <v>450</v>
      </c>
      <c r="L524" s="283">
        <v>45170</v>
      </c>
      <c r="M524" s="281"/>
      <c r="N524" s="194" t="s">
        <v>141</v>
      </c>
      <c r="O524" s="466">
        <v>0</v>
      </c>
      <c r="P524" s="285">
        <v>45901</v>
      </c>
      <c r="Q524" s="285">
        <v>46022</v>
      </c>
      <c r="R524" s="288">
        <v>1</v>
      </c>
    </row>
    <row r="525" spans="1:18" hidden="1">
      <c r="A525" s="194">
        <v>4143</v>
      </c>
      <c r="B525" s="194"/>
      <c r="C525" s="193"/>
      <c r="D525" s="193"/>
      <c r="E525" s="193"/>
      <c r="F525" s="283"/>
      <c r="G525" s="193">
        <v>9</v>
      </c>
      <c r="H525" s="282">
        <v>10</v>
      </c>
      <c r="I525" s="193">
        <v>850</v>
      </c>
      <c r="J525" s="193" t="s">
        <v>390</v>
      </c>
      <c r="K525" s="193" t="s">
        <v>450</v>
      </c>
      <c r="L525" s="283">
        <v>44805</v>
      </c>
      <c r="M525" s="281"/>
      <c r="N525" s="194" t="s">
        <v>141</v>
      </c>
      <c r="O525" s="466">
        <v>0</v>
      </c>
      <c r="P525" s="285">
        <v>45901</v>
      </c>
      <c r="Q525" s="285">
        <v>46022</v>
      </c>
      <c r="R525" s="288">
        <v>1</v>
      </c>
    </row>
    <row r="526" spans="1:18" hidden="1">
      <c r="A526" s="194">
        <v>4143</v>
      </c>
      <c r="B526" s="194"/>
      <c r="C526" s="479"/>
      <c r="D526" s="479"/>
      <c r="E526" s="479"/>
      <c r="F526" s="480"/>
      <c r="G526" s="479">
        <v>7</v>
      </c>
      <c r="H526" s="282">
        <v>8</v>
      </c>
      <c r="I526" s="193">
        <v>850</v>
      </c>
      <c r="J526" s="193" t="s">
        <v>390</v>
      </c>
      <c r="K526" s="193" t="s">
        <v>450</v>
      </c>
      <c r="L526" s="283">
        <v>45536</v>
      </c>
      <c r="M526" s="281"/>
      <c r="N526" s="194" t="s">
        <v>141</v>
      </c>
      <c r="O526" s="466">
        <v>0</v>
      </c>
      <c r="P526" s="285">
        <v>45901</v>
      </c>
      <c r="Q526" s="285">
        <v>46022</v>
      </c>
      <c r="R526" s="288">
        <v>1</v>
      </c>
    </row>
    <row r="527" spans="1:18" hidden="1">
      <c r="A527" s="194">
        <v>4143</v>
      </c>
      <c r="B527" s="194"/>
      <c r="C527" s="479"/>
      <c r="D527" s="479"/>
      <c r="E527" s="479"/>
      <c r="F527" s="480"/>
      <c r="G527" s="479">
        <v>7</v>
      </c>
      <c r="H527" s="282">
        <v>8</v>
      </c>
      <c r="I527" s="193">
        <v>850</v>
      </c>
      <c r="J527" s="193" t="s">
        <v>390</v>
      </c>
      <c r="K527" s="193" t="s">
        <v>450</v>
      </c>
      <c r="L527" s="283">
        <v>45536</v>
      </c>
      <c r="M527" s="281"/>
      <c r="N527" s="194" t="s">
        <v>141</v>
      </c>
      <c r="O527" s="466">
        <v>0</v>
      </c>
      <c r="P527" s="285">
        <v>45901</v>
      </c>
      <c r="Q527" s="285">
        <v>46022</v>
      </c>
      <c r="R527" s="288">
        <v>1</v>
      </c>
    </row>
    <row r="528" spans="1:18" hidden="1">
      <c r="A528" s="194">
        <v>4143</v>
      </c>
      <c r="B528" s="194"/>
      <c r="C528" s="479"/>
      <c r="D528" s="479"/>
      <c r="E528" s="479"/>
      <c r="F528" s="480"/>
      <c r="G528" s="479">
        <v>6</v>
      </c>
      <c r="H528" s="282">
        <v>7</v>
      </c>
      <c r="I528" s="193">
        <v>850</v>
      </c>
      <c r="J528" s="193" t="s">
        <v>390</v>
      </c>
      <c r="K528" s="193" t="s">
        <v>450</v>
      </c>
      <c r="L528" s="283">
        <v>45901</v>
      </c>
      <c r="M528" s="281"/>
      <c r="N528" s="194" t="s">
        <v>141</v>
      </c>
      <c r="O528" s="466">
        <v>0</v>
      </c>
      <c r="P528" s="285">
        <v>45901</v>
      </c>
      <c r="Q528" s="285">
        <v>46022</v>
      </c>
      <c r="R528" s="288">
        <v>1</v>
      </c>
    </row>
    <row r="529" spans="1:18" hidden="1">
      <c r="A529" s="194">
        <v>4143</v>
      </c>
      <c r="B529" s="194"/>
      <c r="C529" s="479"/>
      <c r="D529" s="479"/>
      <c r="E529" s="479"/>
      <c r="F529" s="480"/>
      <c r="G529" s="479">
        <v>9</v>
      </c>
      <c r="H529" s="282">
        <v>10</v>
      </c>
      <c r="I529" s="193">
        <v>850</v>
      </c>
      <c r="J529" s="193" t="s">
        <v>390</v>
      </c>
      <c r="K529" s="193" t="s">
        <v>450</v>
      </c>
      <c r="L529" s="283">
        <v>44805</v>
      </c>
      <c r="M529" s="281"/>
      <c r="N529" s="194" t="s">
        <v>141</v>
      </c>
      <c r="O529" s="466">
        <v>0</v>
      </c>
      <c r="P529" s="285">
        <v>45901</v>
      </c>
      <c r="Q529" s="285">
        <v>46022</v>
      </c>
      <c r="R529" s="288">
        <v>1</v>
      </c>
    </row>
    <row r="530" spans="1:18" hidden="1">
      <c r="A530" s="194">
        <v>4143</v>
      </c>
      <c r="B530" s="194"/>
      <c r="C530" s="479"/>
      <c r="D530" s="479"/>
      <c r="E530" s="479"/>
      <c r="F530" s="480"/>
      <c r="G530" s="479">
        <v>7</v>
      </c>
      <c r="H530" s="282">
        <v>8</v>
      </c>
      <c r="I530" s="193">
        <v>850</v>
      </c>
      <c r="J530" s="193" t="s">
        <v>390</v>
      </c>
      <c r="K530" s="193" t="s">
        <v>450</v>
      </c>
      <c r="L530" s="283">
        <v>45536</v>
      </c>
      <c r="M530" s="281"/>
      <c r="N530" s="194" t="s">
        <v>141</v>
      </c>
      <c r="O530" s="466">
        <v>0</v>
      </c>
      <c r="P530" s="285">
        <v>45901</v>
      </c>
      <c r="Q530" s="285">
        <v>46022</v>
      </c>
      <c r="R530" s="288">
        <v>1</v>
      </c>
    </row>
    <row r="531" spans="1:18" hidden="1">
      <c r="A531" s="194">
        <v>4143</v>
      </c>
      <c r="B531" s="194"/>
      <c r="C531" s="193"/>
      <c r="D531" s="193"/>
      <c r="E531" s="193"/>
      <c r="F531" s="283"/>
      <c r="G531" s="193">
        <v>8</v>
      </c>
      <c r="H531" s="282">
        <v>9</v>
      </c>
      <c r="I531" s="193">
        <v>850</v>
      </c>
      <c r="J531" s="193" t="s">
        <v>390</v>
      </c>
      <c r="K531" s="193" t="s">
        <v>450</v>
      </c>
      <c r="L531" s="283">
        <v>45170</v>
      </c>
      <c r="M531" s="281"/>
      <c r="N531" s="194" t="s">
        <v>141</v>
      </c>
      <c r="O531" s="466">
        <v>0</v>
      </c>
      <c r="P531" s="285">
        <v>45901</v>
      </c>
      <c r="Q531" s="285">
        <v>46022</v>
      </c>
      <c r="R531" s="288">
        <v>1</v>
      </c>
    </row>
    <row r="532" spans="1:18" hidden="1">
      <c r="A532" s="194">
        <v>4143</v>
      </c>
      <c r="B532" s="194"/>
      <c r="C532" s="193"/>
      <c r="D532" s="193"/>
      <c r="E532" s="193"/>
      <c r="F532" s="283"/>
      <c r="G532" s="193">
        <v>9</v>
      </c>
      <c r="H532" s="282">
        <v>10</v>
      </c>
      <c r="I532" s="193">
        <v>850</v>
      </c>
      <c r="J532" s="193" t="s">
        <v>390</v>
      </c>
      <c r="K532" s="193" t="s">
        <v>450</v>
      </c>
      <c r="L532" s="283">
        <v>44805</v>
      </c>
      <c r="M532" s="281"/>
      <c r="N532" s="194" t="s">
        <v>141</v>
      </c>
      <c r="O532" s="466">
        <v>0</v>
      </c>
      <c r="P532" s="285">
        <v>45901</v>
      </c>
      <c r="Q532" s="285">
        <v>46022</v>
      </c>
      <c r="R532" s="288">
        <v>1</v>
      </c>
    </row>
    <row r="533" spans="1:18" hidden="1">
      <c r="A533" s="194">
        <v>4143</v>
      </c>
      <c r="B533" s="194"/>
      <c r="C533" s="193"/>
      <c r="D533" s="193"/>
      <c r="E533" s="193"/>
      <c r="F533" s="283"/>
      <c r="G533" s="193">
        <v>10</v>
      </c>
      <c r="H533" s="282">
        <v>11</v>
      </c>
      <c r="I533" s="193">
        <v>850</v>
      </c>
      <c r="J533" s="193" t="s">
        <v>390</v>
      </c>
      <c r="K533" s="193" t="s">
        <v>450</v>
      </c>
      <c r="L533" s="283">
        <v>45536</v>
      </c>
      <c r="M533" s="281"/>
      <c r="N533" s="194" t="s">
        <v>141</v>
      </c>
      <c r="O533" s="466">
        <v>0</v>
      </c>
      <c r="P533" s="285">
        <v>45901</v>
      </c>
      <c r="Q533" s="285">
        <v>46022</v>
      </c>
      <c r="R533" s="288">
        <v>1</v>
      </c>
    </row>
    <row r="534" spans="1:18" hidden="1">
      <c r="A534" s="194">
        <v>4143</v>
      </c>
      <c r="B534" s="194"/>
      <c r="C534" s="193"/>
      <c r="D534" s="193"/>
      <c r="E534" s="193"/>
      <c r="F534" s="283"/>
      <c r="G534" s="193">
        <v>6</v>
      </c>
      <c r="H534" s="282">
        <v>7</v>
      </c>
      <c r="I534" s="193">
        <v>850</v>
      </c>
      <c r="J534" s="193" t="s">
        <v>390</v>
      </c>
      <c r="K534" s="193" t="s">
        <v>450</v>
      </c>
      <c r="L534" s="283">
        <v>45901</v>
      </c>
      <c r="M534" s="281"/>
      <c r="N534" s="194" t="s">
        <v>141</v>
      </c>
      <c r="O534" s="466">
        <v>0</v>
      </c>
      <c r="P534" s="285">
        <v>45901</v>
      </c>
      <c r="Q534" s="285">
        <v>46022</v>
      </c>
      <c r="R534" s="288">
        <v>1</v>
      </c>
    </row>
    <row r="535" spans="1:18" hidden="1">
      <c r="A535" s="470">
        <v>4143</v>
      </c>
      <c r="B535" s="194"/>
      <c r="C535" s="282"/>
      <c r="D535" s="282"/>
      <c r="E535" s="282"/>
      <c r="F535" s="283"/>
      <c r="G535" s="282">
        <v>10</v>
      </c>
      <c r="H535" s="282">
        <v>11</v>
      </c>
      <c r="I535" s="282">
        <v>850</v>
      </c>
      <c r="J535" s="282" t="s">
        <v>390</v>
      </c>
      <c r="K535" s="282" t="s">
        <v>450</v>
      </c>
      <c r="L535" s="283">
        <v>44562</v>
      </c>
      <c r="M535" s="281"/>
      <c r="N535" s="472" t="s">
        <v>141</v>
      </c>
      <c r="O535" s="466">
        <v>0</v>
      </c>
      <c r="P535" s="285">
        <v>45901</v>
      </c>
      <c r="Q535" s="285">
        <v>46022</v>
      </c>
      <c r="R535" s="288">
        <v>1</v>
      </c>
    </row>
    <row r="536" spans="1:18" hidden="1">
      <c r="A536" s="470">
        <v>4143</v>
      </c>
      <c r="B536" s="194"/>
      <c r="C536" s="282"/>
      <c r="D536" s="282"/>
      <c r="E536" s="282"/>
      <c r="F536" s="283"/>
      <c r="G536" s="282">
        <v>6</v>
      </c>
      <c r="H536" s="282">
        <v>7</v>
      </c>
      <c r="I536" s="282">
        <v>850</v>
      </c>
      <c r="J536" s="282" t="s">
        <v>390</v>
      </c>
      <c r="K536" s="282" t="s">
        <v>450</v>
      </c>
      <c r="L536" s="283">
        <v>45901</v>
      </c>
      <c r="M536" s="281"/>
      <c r="N536" s="472" t="s">
        <v>141</v>
      </c>
      <c r="O536" s="466">
        <v>0</v>
      </c>
      <c r="P536" s="285">
        <v>45901</v>
      </c>
      <c r="Q536" s="285">
        <v>46022</v>
      </c>
      <c r="R536" s="288">
        <v>1</v>
      </c>
    </row>
    <row r="537" spans="1:18" hidden="1">
      <c r="A537" s="470">
        <v>4143</v>
      </c>
      <c r="B537" s="194"/>
      <c r="C537" s="282"/>
      <c r="D537" s="282"/>
      <c r="E537" s="282"/>
      <c r="F537" s="283"/>
      <c r="G537" s="282">
        <v>8</v>
      </c>
      <c r="H537" s="282">
        <v>9</v>
      </c>
      <c r="I537" s="282">
        <v>850</v>
      </c>
      <c r="J537" s="282" t="s">
        <v>390</v>
      </c>
      <c r="K537" s="282" t="s">
        <v>450</v>
      </c>
      <c r="L537" s="283">
        <v>45170</v>
      </c>
      <c r="M537" s="281"/>
      <c r="N537" s="472" t="s">
        <v>141</v>
      </c>
      <c r="O537" s="466">
        <v>0</v>
      </c>
      <c r="P537" s="285">
        <v>45901</v>
      </c>
      <c r="Q537" s="285">
        <v>46022</v>
      </c>
      <c r="R537" s="288">
        <v>1</v>
      </c>
    </row>
    <row r="538" spans="1:18" hidden="1">
      <c r="A538" s="470">
        <v>4143</v>
      </c>
      <c r="B538" s="194"/>
      <c r="C538" s="282"/>
      <c r="D538" s="282"/>
      <c r="E538" s="282"/>
      <c r="F538" s="283"/>
      <c r="G538" s="282">
        <v>11</v>
      </c>
      <c r="H538" s="282">
        <v>12</v>
      </c>
      <c r="I538" s="282">
        <v>850</v>
      </c>
      <c r="J538" s="282" t="s">
        <v>390</v>
      </c>
      <c r="K538" s="282" t="s">
        <v>450</v>
      </c>
      <c r="L538" s="283">
        <v>44133</v>
      </c>
      <c r="M538" s="281">
        <v>45900</v>
      </c>
      <c r="N538" s="472" t="s">
        <v>141</v>
      </c>
      <c r="O538" s="466">
        <v>0</v>
      </c>
      <c r="P538" s="285" t="s">
        <v>399</v>
      </c>
      <c r="Q538" s="285" t="s">
        <v>399</v>
      </c>
      <c r="R538" s="288">
        <v>0</v>
      </c>
    </row>
    <row r="539" spans="1:18" hidden="1">
      <c r="A539" s="470">
        <v>4143</v>
      </c>
      <c r="B539" s="194"/>
      <c r="C539" s="282"/>
      <c r="D539" s="282"/>
      <c r="E539" s="282"/>
      <c r="F539" s="283"/>
      <c r="G539" s="282">
        <v>11</v>
      </c>
      <c r="H539" s="282">
        <v>12</v>
      </c>
      <c r="I539" s="282">
        <v>850</v>
      </c>
      <c r="J539" s="282" t="s">
        <v>390</v>
      </c>
      <c r="K539" s="282" t="s">
        <v>450</v>
      </c>
      <c r="L539" s="283">
        <v>44805</v>
      </c>
      <c r="M539" s="281">
        <v>45900</v>
      </c>
      <c r="N539" s="472" t="s">
        <v>141</v>
      </c>
      <c r="O539" s="466">
        <v>0</v>
      </c>
      <c r="P539" s="285" t="s">
        <v>399</v>
      </c>
      <c r="Q539" s="285" t="s">
        <v>399</v>
      </c>
      <c r="R539" s="288">
        <v>0</v>
      </c>
    </row>
    <row r="540" spans="1:18" hidden="1">
      <c r="A540" s="470">
        <v>4159</v>
      </c>
      <c r="B540" s="194"/>
      <c r="C540" s="282"/>
      <c r="D540" s="282"/>
      <c r="E540" s="282"/>
      <c r="F540" s="283"/>
      <c r="G540" s="282">
        <v>6</v>
      </c>
      <c r="H540" s="282">
        <v>7</v>
      </c>
      <c r="I540" s="282">
        <v>850</v>
      </c>
      <c r="J540" s="282" t="s">
        <v>390</v>
      </c>
      <c r="K540" s="282" t="s">
        <v>451</v>
      </c>
      <c r="L540" s="283">
        <v>45901</v>
      </c>
      <c r="M540" s="281"/>
      <c r="N540" s="472" t="s">
        <v>141</v>
      </c>
      <c r="O540" s="466">
        <v>0</v>
      </c>
      <c r="P540" s="285">
        <v>45901</v>
      </c>
      <c r="Q540" s="285">
        <v>46022</v>
      </c>
      <c r="R540" s="288">
        <v>1</v>
      </c>
    </row>
    <row r="541" spans="1:18" hidden="1">
      <c r="A541" s="470">
        <v>4159</v>
      </c>
      <c r="B541" s="194"/>
      <c r="C541" s="282"/>
      <c r="D541" s="282"/>
      <c r="E541" s="282"/>
      <c r="F541" s="283"/>
      <c r="G541" s="282">
        <v>8</v>
      </c>
      <c r="H541" s="282">
        <v>9</v>
      </c>
      <c r="I541" s="282">
        <v>850</v>
      </c>
      <c r="J541" s="282" t="s">
        <v>390</v>
      </c>
      <c r="K541" s="282" t="s">
        <v>451</v>
      </c>
      <c r="L541" s="283">
        <v>45901</v>
      </c>
      <c r="M541" s="284"/>
      <c r="N541" s="472" t="s">
        <v>141</v>
      </c>
      <c r="O541" s="466">
        <v>0</v>
      </c>
      <c r="P541" s="285">
        <v>45901</v>
      </c>
      <c r="Q541" s="285">
        <v>46022</v>
      </c>
      <c r="R541" s="288">
        <v>1</v>
      </c>
    </row>
    <row r="542" spans="1:18" hidden="1">
      <c r="A542" s="470">
        <v>4159</v>
      </c>
      <c r="B542" s="194"/>
      <c r="C542" s="282"/>
      <c r="D542" s="282"/>
      <c r="E542" s="282"/>
      <c r="F542" s="283"/>
      <c r="G542" s="282">
        <v>6</v>
      </c>
      <c r="H542" s="282">
        <v>7</v>
      </c>
      <c r="I542" s="282">
        <v>850</v>
      </c>
      <c r="J542" s="282" t="s">
        <v>390</v>
      </c>
      <c r="K542" s="282" t="s">
        <v>451</v>
      </c>
      <c r="L542" s="283">
        <v>45901</v>
      </c>
      <c r="M542" s="284"/>
      <c r="N542" s="472" t="s">
        <v>141</v>
      </c>
      <c r="O542" s="466">
        <v>0</v>
      </c>
      <c r="P542" s="285">
        <v>45901</v>
      </c>
      <c r="Q542" s="285">
        <v>46022</v>
      </c>
      <c r="R542" s="288">
        <v>1</v>
      </c>
    </row>
    <row r="543" spans="1:18" hidden="1">
      <c r="A543" s="470">
        <v>4159</v>
      </c>
      <c r="B543" s="194"/>
      <c r="C543" s="282"/>
      <c r="D543" s="282"/>
      <c r="E543" s="282"/>
      <c r="F543" s="283"/>
      <c r="G543" s="282">
        <v>6</v>
      </c>
      <c r="H543" s="282">
        <v>7</v>
      </c>
      <c r="I543" s="282">
        <v>850</v>
      </c>
      <c r="J543" s="282" t="s">
        <v>390</v>
      </c>
      <c r="K543" s="282" t="s">
        <v>451</v>
      </c>
      <c r="L543" s="283">
        <v>45901</v>
      </c>
      <c r="M543" s="284"/>
      <c r="N543" s="472" t="s">
        <v>141</v>
      </c>
      <c r="O543" s="466">
        <v>0</v>
      </c>
      <c r="P543" s="285">
        <v>45901</v>
      </c>
      <c r="Q543" s="285">
        <v>46022</v>
      </c>
      <c r="R543" s="288">
        <v>1</v>
      </c>
    </row>
    <row r="544" spans="1:18" hidden="1">
      <c r="A544" s="194">
        <v>4159</v>
      </c>
      <c r="B544" s="194"/>
      <c r="C544" s="282"/>
      <c r="D544" s="282"/>
      <c r="E544" s="282"/>
      <c r="F544" s="283"/>
      <c r="G544" s="193">
        <v>6</v>
      </c>
      <c r="H544" s="282">
        <v>7</v>
      </c>
      <c r="I544" s="282">
        <v>850</v>
      </c>
      <c r="J544" s="282" t="s">
        <v>390</v>
      </c>
      <c r="K544" s="282" t="s">
        <v>451</v>
      </c>
      <c r="L544" s="283">
        <v>45901</v>
      </c>
      <c r="M544" s="281"/>
      <c r="N544" s="472" t="s">
        <v>141</v>
      </c>
      <c r="O544" s="466">
        <v>0</v>
      </c>
      <c r="P544" s="285">
        <v>45901</v>
      </c>
      <c r="Q544" s="285">
        <v>46022</v>
      </c>
      <c r="R544" s="288">
        <v>1</v>
      </c>
    </row>
    <row r="545" spans="1:18" hidden="1">
      <c r="A545" s="470">
        <v>4164</v>
      </c>
      <c r="B545" s="194"/>
      <c r="C545" s="282"/>
      <c r="D545" s="282"/>
      <c r="E545" s="282"/>
      <c r="F545" s="283"/>
      <c r="G545" s="282">
        <v>9</v>
      </c>
      <c r="H545" s="282">
        <v>10</v>
      </c>
      <c r="I545" s="282">
        <v>850</v>
      </c>
      <c r="J545" s="282" t="s">
        <v>390</v>
      </c>
      <c r="K545" s="282" t="s">
        <v>452</v>
      </c>
      <c r="L545" s="283">
        <v>44805</v>
      </c>
      <c r="M545" s="284"/>
      <c r="N545" s="472" t="s">
        <v>240</v>
      </c>
      <c r="O545" s="466">
        <v>0</v>
      </c>
      <c r="P545" s="285">
        <v>45901</v>
      </c>
      <c r="Q545" s="285">
        <v>46022</v>
      </c>
      <c r="R545" s="288">
        <v>1</v>
      </c>
    </row>
    <row r="546" spans="1:18" hidden="1">
      <c r="A546" s="470">
        <v>4164</v>
      </c>
      <c r="B546" s="194"/>
      <c r="C546" s="282"/>
      <c r="D546" s="282"/>
      <c r="E546" s="282"/>
      <c r="F546" s="283"/>
      <c r="G546" s="282">
        <v>6</v>
      </c>
      <c r="H546" s="282">
        <v>7</v>
      </c>
      <c r="I546" s="282">
        <v>850</v>
      </c>
      <c r="J546" s="282" t="s">
        <v>390</v>
      </c>
      <c r="K546" s="282" t="s">
        <v>452</v>
      </c>
      <c r="L546" s="283">
        <v>45901</v>
      </c>
      <c r="M546" s="281"/>
      <c r="N546" s="472" t="s">
        <v>240</v>
      </c>
      <c r="O546" s="466">
        <v>0</v>
      </c>
      <c r="P546" s="285">
        <v>45901</v>
      </c>
      <c r="Q546" s="285">
        <v>46022</v>
      </c>
      <c r="R546" s="288">
        <v>1</v>
      </c>
    </row>
    <row r="547" spans="1:18" hidden="1">
      <c r="A547" s="470">
        <v>4164</v>
      </c>
      <c r="B547" s="194"/>
      <c r="C547" s="282"/>
      <c r="D547" s="282"/>
      <c r="E547" s="282"/>
      <c r="F547" s="283"/>
      <c r="G547" s="282">
        <v>9</v>
      </c>
      <c r="H547" s="282">
        <v>10</v>
      </c>
      <c r="I547" s="282">
        <v>850</v>
      </c>
      <c r="J547" s="282" t="s">
        <v>390</v>
      </c>
      <c r="K547" s="282" t="s">
        <v>452</v>
      </c>
      <c r="L547" s="283">
        <v>44805</v>
      </c>
      <c r="M547" s="284"/>
      <c r="N547" s="472" t="s">
        <v>240</v>
      </c>
      <c r="O547" s="466">
        <v>0</v>
      </c>
      <c r="P547" s="285">
        <v>45901</v>
      </c>
      <c r="Q547" s="285">
        <v>46022</v>
      </c>
      <c r="R547" s="288">
        <v>1</v>
      </c>
    </row>
    <row r="548" spans="1:18" hidden="1">
      <c r="A548" s="470">
        <v>4164</v>
      </c>
      <c r="B548" s="194"/>
      <c r="C548" s="282"/>
      <c r="D548" s="282"/>
      <c r="E548" s="282"/>
      <c r="F548" s="283"/>
      <c r="G548" s="282">
        <v>9</v>
      </c>
      <c r="H548" s="282">
        <v>10</v>
      </c>
      <c r="I548" s="282">
        <v>850</v>
      </c>
      <c r="J548" s="282" t="s">
        <v>390</v>
      </c>
      <c r="K548" s="282" t="s">
        <v>452</v>
      </c>
      <c r="L548" s="283">
        <v>44805</v>
      </c>
      <c r="M548" s="284"/>
      <c r="N548" s="472" t="s">
        <v>240</v>
      </c>
      <c r="O548" s="466">
        <v>0</v>
      </c>
      <c r="P548" s="285">
        <v>45901</v>
      </c>
      <c r="Q548" s="285">
        <v>46022</v>
      </c>
      <c r="R548" s="288">
        <v>1</v>
      </c>
    </row>
    <row r="549" spans="1:18" hidden="1">
      <c r="A549" s="470">
        <v>4164</v>
      </c>
      <c r="B549" s="194"/>
      <c r="C549" s="282"/>
      <c r="D549" s="282"/>
      <c r="E549" s="282"/>
      <c r="F549" s="283"/>
      <c r="G549" s="282">
        <v>10</v>
      </c>
      <c r="H549" s="282">
        <v>11</v>
      </c>
      <c r="I549" s="282">
        <v>850</v>
      </c>
      <c r="J549" s="282" t="s">
        <v>390</v>
      </c>
      <c r="K549" s="282" t="s">
        <v>452</v>
      </c>
      <c r="L549" s="283">
        <v>44440</v>
      </c>
      <c r="M549" s="284"/>
      <c r="N549" s="472" t="s">
        <v>240</v>
      </c>
      <c r="O549" s="466">
        <v>0</v>
      </c>
      <c r="P549" s="285">
        <v>45901</v>
      </c>
      <c r="Q549" s="285">
        <v>46022</v>
      </c>
      <c r="R549" s="288">
        <v>1</v>
      </c>
    </row>
    <row r="550" spans="1:18" hidden="1">
      <c r="A550" s="470">
        <v>4164</v>
      </c>
      <c r="B550" s="194"/>
      <c r="C550" s="282"/>
      <c r="D550" s="282"/>
      <c r="E550" s="282"/>
      <c r="F550" s="283"/>
      <c r="G550" s="282">
        <v>8</v>
      </c>
      <c r="H550" s="282">
        <v>9</v>
      </c>
      <c r="I550" s="282">
        <v>850</v>
      </c>
      <c r="J550" s="282" t="s">
        <v>390</v>
      </c>
      <c r="K550" s="282" t="s">
        <v>452</v>
      </c>
      <c r="L550" s="283">
        <v>45170</v>
      </c>
      <c r="M550" s="281"/>
      <c r="N550" s="472" t="s">
        <v>218</v>
      </c>
      <c r="O550" s="466">
        <v>0</v>
      </c>
      <c r="P550" s="285">
        <v>45901</v>
      </c>
      <c r="Q550" s="285">
        <v>46022</v>
      </c>
      <c r="R550" s="288">
        <v>1</v>
      </c>
    </row>
    <row r="551" spans="1:18" hidden="1">
      <c r="A551" s="470">
        <v>4164</v>
      </c>
      <c r="B551" s="194"/>
      <c r="C551" s="282"/>
      <c r="D551" s="282"/>
      <c r="E551" s="282"/>
      <c r="F551" s="283"/>
      <c r="G551" s="282">
        <v>6</v>
      </c>
      <c r="H551" s="282">
        <v>7</v>
      </c>
      <c r="I551" s="282">
        <v>850</v>
      </c>
      <c r="J551" s="282" t="s">
        <v>390</v>
      </c>
      <c r="K551" s="282" t="s">
        <v>452</v>
      </c>
      <c r="L551" s="283">
        <v>45536</v>
      </c>
      <c r="M551" s="284"/>
      <c r="N551" s="287" t="s">
        <v>218</v>
      </c>
      <c r="O551" s="466">
        <v>0</v>
      </c>
      <c r="P551" s="285">
        <v>45901</v>
      </c>
      <c r="Q551" s="285">
        <v>46022</v>
      </c>
      <c r="R551" s="288">
        <v>1</v>
      </c>
    </row>
    <row r="552" spans="1:18" hidden="1">
      <c r="A552" s="470">
        <v>4164</v>
      </c>
      <c r="B552" s="194"/>
      <c r="C552" s="282"/>
      <c r="D552" s="282"/>
      <c r="E552" s="282"/>
      <c r="F552" s="283"/>
      <c r="G552" s="282">
        <v>11</v>
      </c>
      <c r="H552" s="282">
        <v>12</v>
      </c>
      <c r="I552" s="282">
        <v>850</v>
      </c>
      <c r="J552" s="282" t="s">
        <v>390</v>
      </c>
      <c r="K552" s="282" t="s">
        <v>452</v>
      </c>
      <c r="L552" s="283">
        <v>44075</v>
      </c>
      <c r="M552" s="281">
        <v>45900</v>
      </c>
      <c r="N552" s="287" t="s">
        <v>218</v>
      </c>
      <c r="O552" s="466">
        <v>0</v>
      </c>
      <c r="P552" s="285" t="s">
        <v>399</v>
      </c>
      <c r="Q552" s="285" t="s">
        <v>399</v>
      </c>
      <c r="R552" s="288">
        <v>0</v>
      </c>
    </row>
    <row r="553" spans="1:18" hidden="1">
      <c r="A553" s="470">
        <v>4164</v>
      </c>
      <c r="B553" s="194"/>
      <c r="C553" s="282"/>
      <c r="D553" s="282"/>
      <c r="E553" s="282"/>
      <c r="F553" s="283"/>
      <c r="G553" s="282">
        <v>8</v>
      </c>
      <c r="H553" s="282">
        <v>9</v>
      </c>
      <c r="I553" s="282">
        <v>850</v>
      </c>
      <c r="J553" s="282" t="s">
        <v>390</v>
      </c>
      <c r="K553" s="282" t="s">
        <v>452</v>
      </c>
      <c r="L553" s="283">
        <v>45170</v>
      </c>
      <c r="M553" s="281"/>
      <c r="N553" s="287" t="s">
        <v>218</v>
      </c>
      <c r="O553" s="466">
        <v>0</v>
      </c>
      <c r="P553" s="285">
        <v>45901</v>
      </c>
      <c r="Q553" s="285">
        <v>46022</v>
      </c>
      <c r="R553" s="288">
        <v>1</v>
      </c>
    </row>
    <row r="554" spans="1:18" hidden="1">
      <c r="A554" s="470">
        <v>4164</v>
      </c>
      <c r="B554" s="194"/>
      <c r="C554" s="282"/>
      <c r="D554" s="282"/>
      <c r="E554" s="282"/>
      <c r="F554" s="283"/>
      <c r="G554" s="282">
        <v>9</v>
      </c>
      <c r="H554" s="282">
        <v>10</v>
      </c>
      <c r="I554" s="282">
        <v>850</v>
      </c>
      <c r="J554" s="282" t="s">
        <v>390</v>
      </c>
      <c r="K554" s="282" t="s">
        <v>452</v>
      </c>
      <c r="L554" s="283">
        <v>44805</v>
      </c>
      <c r="M554" s="284"/>
      <c r="N554" s="287" t="s">
        <v>240</v>
      </c>
      <c r="O554" s="466">
        <v>0</v>
      </c>
      <c r="P554" s="285">
        <v>45901</v>
      </c>
      <c r="Q554" s="285">
        <v>46022</v>
      </c>
      <c r="R554" s="288">
        <v>1</v>
      </c>
    </row>
    <row r="555" spans="1:18" hidden="1">
      <c r="A555" s="470">
        <v>4164</v>
      </c>
      <c r="B555" s="194"/>
      <c r="C555" s="282"/>
      <c r="D555" s="282"/>
      <c r="E555" s="282"/>
      <c r="F555" s="283"/>
      <c r="G555" s="282">
        <v>10</v>
      </c>
      <c r="H555" s="282">
        <v>11</v>
      </c>
      <c r="I555" s="282">
        <v>850</v>
      </c>
      <c r="J555" s="282" t="s">
        <v>390</v>
      </c>
      <c r="K555" s="282" t="s">
        <v>452</v>
      </c>
      <c r="L555" s="283">
        <v>44440</v>
      </c>
      <c r="M555" s="281"/>
      <c r="N555" s="195" t="s">
        <v>240</v>
      </c>
      <c r="O555" s="466">
        <v>0</v>
      </c>
      <c r="P555" s="285">
        <v>45901</v>
      </c>
      <c r="Q555" s="285">
        <v>46022</v>
      </c>
      <c r="R555" s="288">
        <v>1</v>
      </c>
    </row>
    <row r="556" spans="1:18" hidden="1">
      <c r="A556" s="470">
        <v>4164</v>
      </c>
      <c r="B556" s="194"/>
      <c r="C556" s="479"/>
      <c r="D556" s="479"/>
      <c r="E556" s="479"/>
      <c r="F556" s="480"/>
      <c r="G556" s="479">
        <v>7</v>
      </c>
      <c r="H556" s="282">
        <v>8</v>
      </c>
      <c r="I556" s="282">
        <v>850</v>
      </c>
      <c r="J556" s="282" t="s">
        <v>390</v>
      </c>
      <c r="K556" s="282" t="s">
        <v>452</v>
      </c>
      <c r="L556" s="283">
        <v>45536</v>
      </c>
      <c r="M556" s="284"/>
      <c r="N556" s="195" t="s">
        <v>240</v>
      </c>
      <c r="O556" s="466">
        <v>0</v>
      </c>
      <c r="P556" s="285">
        <v>45901</v>
      </c>
      <c r="Q556" s="285">
        <v>46022</v>
      </c>
      <c r="R556" s="288">
        <v>1</v>
      </c>
    </row>
    <row r="557" spans="1:18" hidden="1">
      <c r="A557" s="470">
        <v>4164</v>
      </c>
      <c r="B557" s="194"/>
      <c r="C557" s="282"/>
      <c r="D557" s="282"/>
      <c r="E557" s="282"/>
      <c r="F557" s="283"/>
      <c r="G557" s="282">
        <v>7</v>
      </c>
      <c r="H557" s="282">
        <v>8</v>
      </c>
      <c r="I557" s="282">
        <v>850</v>
      </c>
      <c r="J557" s="282" t="s">
        <v>390</v>
      </c>
      <c r="K557" s="282" t="s">
        <v>452</v>
      </c>
      <c r="L557" s="283">
        <v>45536</v>
      </c>
      <c r="M557" s="284"/>
      <c r="N557" s="195" t="s">
        <v>218</v>
      </c>
      <c r="O557" s="466">
        <v>0</v>
      </c>
      <c r="P557" s="285">
        <v>45901</v>
      </c>
      <c r="Q557" s="285">
        <v>46022</v>
      </c>
      <c r="R557" s="288">
        <v>1</v>
      </c>
    </row>
    <row r="558" spans="1:18" hidden="1">
      <c r="A558" s="470">
        <v>4164</v>
      </c>
      <c r="B558" s="194"/>
      <c r="C558" s="282"/>
      <c r="D558" s="282"/>
      <c r="E558" s="282"/>
      <c r="F558" s="283"/>
      <c r="G558" s="282">
        <v>6</v>
      </c>
      <c r="H558" s="282">
        <v>7</v>
      </c>
      <c r="I558" s="282">
        <v>850</v>
      </c>
      <c r="J558" s="282" t="s">
        <v>390</v>
      </c>
      <c r="K558" s="282" t="s">
        <v>452</v>
      </c>
      <c r="L558" s="283">
        <v>45901</v>
      </c>
      <c r="M558" s="284"/>
      <c r="N558" s="195" t="s">
        <v>218</v>
      </c>
      <c r="O558" s="466">
        <v>0</v>
      </c>
      <c r="P558" s="285">
        <v>45901</v>
      </c>
      <c r="Q558" s="285">
        <v>46022</v>
      </c>
      <c r="R558" s="288">
        <v>1</v>
      </c>
    </row>
    <row r="559" spans="1:18" hidden="1">
      <c r="A559" s="470">
        <v>4164</v>
      </c>
      <c r="B559" s="194"/>
      <c r="C559" s="282"/>
      <c r="D559" s="282"/>
      <c r="E559" s="282"/>
      <c r="F559" s="283"/>
      <c r="G559" s="282">
        <v>10</v>
      </c>
      <c r="H559" s="282">
        <v>11</v>
      </c>
      <c r="I559" s="282">
        <v>850</v>
      </c>
      <c r="J559" s="282" t="s">
        <v>390</v>
      </c>
      <c r="K559" s="282" t="s">
        <v>452</v>
      </c>
      <c r="L559" s="283">
        <v>45170</v>
      </c>
      <c r="M559" s="284"/>
      <c r="N559" s="195" t="s">
        <v>218</v>
      </c>
      <c r="O559" s="466">
        <v>0</v>
      </c>
      <c r="P559" s="285">
        <v>45901</v>
      </c>
      <c r="Q559" s="285">
        <v>46022</v>
      </c>
      <c r="R559" s="288">
        <v>1</v>
      </c>
    </row>
    <row r="560" spans="1:18" hidden="1">
      <c r="A560" s="470">
        <v>4164</v>
      </c>
      <c r="B560" s="194"/>
      <c r="C560" s="282"/>
      <c r="D560" s="282"/>
      <c r="E560" s="282"/>
      <c r="F560" s="283"/>
      <c r="G560" s="282">
        <v>8</v>
      </c>
      <c r="H560" s="282">
        <v>9</v>
      </c>
      <c r="I560" s="282">
        <v>850</v>
      </c>
      <c r="J560" s="282" t="s">
        <v>390</v>
      </c>
      <c r="K560" s="282" t="s">
        <v>452</v>
      </c>
      <c r="L560" s="283">
        <v>45170</v>
      </c>
      <c r="M560" s="281"/>
      <c r="N560" s="195" t="s">
        <v>218</v>
      </c>
      <c r="O560" s="466">
        <v>0</v>
      </c>
      <c r="P560" s="285">
        <v>45901</v>
      </c>
      <c r="Q560" s="285">
        <v>46022</v>
      </c>
      <c r="R560" s="288">
        <v>1</v>
      </c>
    </row>
    <row r="561" spans="1:18" hidden="1">
      <c r="A561" s="470">
        <v>4164</v>
      </c>
      <c r="B561" s="194"/>
      <c r="C561" s="282"/>
      <c r="D561" s="282"/>
      <c r="E561" s="282"/>
      <c r="F561" s="283"/>
      <c r="G561" s="282">
        <v>9</v>
      </c>
      <c r="H561" s="282">
        <v>10</v>
      </c>
      <c r="I561" s="282">
        <v>850</v>
      </c>
      <c r="J561" s="282" t="s">
        <v>390</v>
      </c>
      <c r="K561" s="282" t="s">
        <v>452</v>
      </c>
      <c r="L561" s="283">
        <v>44805</v>
      </c>
      <c r="M561" s="281"/>
      <c r="N561" s="195" t="s">
        <v>218</v>
      </c>
      <c r="O561" s="466">
        <v>0</v>
      </c>
      <c r="P561" s="285">
        <v>45901</v>
      </c>
      <c r="Q561" s="285">
        <v>46022</v>
      </c>
      <c r="R561" s="288">
        <v>1</v>
      </c>
    </row>
    <row r="562" spans="1:18" hidden="1">
      <c r="A562" s="470">
        <v>4173</v>
      </c>
      <c r="B562" s="194"/>
      <c r="C562" s="282"/>
      <c r="D562" s="282"/>
      <c r="E562" s="282"/>
      <c r="F562" s="283"/>
      <c r="G562" s="282">
        <v>7</v>
      </c>
      <c r="H562" s="282">
        <v>8</v>
      </c>
      <c r="I562" s="282">
        <v>850</v>
      </c>
      <c r="J562" s="282" t="s">
        <v>390</v>
      </c>
      <c r="K562" s="282" t="s">
        <v>453</v>
      </c>
      <c r="L562" s="283">
        <v>45789</v>
      </c>
      <c r="M562" s="281"/>
      <c r="N562" s="195" t="s">
        <v>141</v>
      </c>
      <c r="O562" s="466">
        <v>0</v>
      </c>
      <c r="P562" s="285">
        <v>45901</v>
      </c>
      <c r="Q562" s="285">
        <v>46022</v>
      </c>
      <c r="R562" s="288">
        <v>1</v>
      </c>
    </row>
    <row r="563" spans="1:18" hidden="1">
      <c r="A563" s="470">
        <v>4173</v>
      </c>
      <c r="B563" s="194"/>
      <c r="C563" s="282"/>
      <c r="D563" s="282"/>
      <c r="E563" s="282"/>
      <c r="F563" s="283"/>
      <c r="G563" s="282">
        <v>8</v>
      </c>
      <c r="H563" s="282">
        <v>9</v>
      </c>
      <c r="I563" s="282">
        <v>850</v>
      </c>
      <c r="J563" s="282" t="s">
        <v>390</v>
      </c>
      <c r="K563" s="282" t="s">
        <v>453</v>
      </c>
      <c r="L563" s="283">
        <v>45170</v>
      </c>
      <c r="M563" s="281"/>
      <c r="N563" s="195" t="s">
        <v>141</v>
      </c>
      <c r="O563" s="466">
        <v>0</v>
      </c>
      <c r="P563" s="285">
        <v>45901</v>
      </c>
      <c r="Q563" s="285">
        <v>46022</v>
      </c>
      <c r="R563" s="288">
        <v>1</v>
      </c>
    </row>
    <row r="564" spans="1:18" hidden="1">
      <c r="A564" s="470">
        <v>4173</v>
      </c>
      <c r="B564" s="194"/>
      <c r="C564" s="479"/>
      <c r="D564" s="479"/>
      <c r="E564" s="479"/>
      <c r="F564" s="480"/>
      <c r="G564" s="479">
        <v>8</v>
      </c>
      <c r="H564" s="282">
        <v>9</v>
      </c>
      <c r="I564" s="282">
        <v>850</v>
      </c>
      <c r="J564" s="282" t="s">
        <v>390</v>
      </c>
      <c r="K564" s="282" t="s">
        <v>453</v>
      </c>
      <c r="L564" s="283">
        <v>45170</v>
      </c>
      <c r="M564" s="284"/>
      <c r="N564" s="195" t="s">
        <v>141</v>
      </c>
      <c r="O564" s="466">
        <v>0</v>
      </c>
      <c r="P564" s="285">
        <v>45901</v>
      </c>
      <c r="Q564" s="285">
        <v>46022</v>
      </c>
      <c r="R564" s="288">
        <v>1</v>
      </c>
    </row>
    <row r="565" spans="1:18" hidden="1">
      <c r="A565" s="282">
        <v>4173</v>
      </c>
      <c r="B565" s="194"/>
      <c r="C565" s="479"/>
      <c r="D565" s="479"/>
      <c r="E565" s="479"/>
      <c r="F565" s="480"/>
      <c r="G565" s="483">
        <v>11</v>
      </c>
      <c r="H565" s="282">
        <v>12</v>
      </c>
      <c r="I565" s="282">
        <v>850</v>
      </c>
      <c r="J565" s="282" t="s">
        <v>390</v>
      </c>
      <c r="K565" s="282" t="s">
        <v>453</v>
      </c>
      <c r="L565" s="283">
        <v>44075</v>
      </c>
      <c r="M565" s="471">
        <v>45900</v>
      </c>
      <c r="N565" s="195" t="s">
        <v>141</v>
      </c>
      <c r="O565" s="466">
        <v>0</v>
      </c>
      <c r="P565" s="285" t="s">
        <v>399</v>
      </c>
      <c r="Q565" s="285" t="s">
        <v>399</v>
      </c>
      <c r="R565" s="288">
        <v>0</v>
      </c>
    </row>
    <row r="566" spans="1:18" hidden="1">
      <c r="A566" s="282">
        <v>4173</v>
      </c>
      <c r="B566" s="194"/>
      <c r="C566" s="479"/>
      <c r="D566" s="479"/>
      <c r="E566" s="479"/>
      <c r="F566" s="480"/>
      <c r="G566" s="483">
        <v>11</v>
      </c>
      <c r="H566" s="282">
        <v>12</v>
      </c>
      <c r="I566" s="282">
        <v>850</v>
      </c>
      <c r="J566" s="282" t="s">
        <v>390</v>
      </c>
      <c r="K566" s="282" t="s">
        <v>453</v>
      </c>
      <c r="L566" s="283">
        <v>44075</v>
      </c>
      <c r="M566" s="471">
        <v>45900</v>
      </c>
      <c r="N566" s="195" t="s">
        <v>141</v>
      </c>
      <c r="O566" s="466">
        <v>0</v>
      </c>
      <c r="P566" s="285" t="s">
        <v>399</v>
      </c>
      <c r="Q566" s="285" t="s">
        <v>399</v>
      </c>
      <c r="R566" s="288">
        <v>0</v>
      </c>
    </row>
    <row r="567" spans="1:18" hidden="1">
      <c r="A567" s="282">
        <v>4173</v>
      </c>
      <c r="B567" s="194"/>
      <c r="C567" s="479"/>
      <c r="D567" s="479"/>
      <c r="E567" s="479"/>
      <c r="F567" s="480"/>
      <c r="G567" s="483">
        <v>11</v>
      </c>
      <c r="H567" s="282">
        <v>12</v>
      </c>
      <c r="I567" s="282">
        <v>850</v>
      </c>
      <c r="J567" s="282" t="s">
        <v>390</v>
      </c>
      <c r="K567" s="282" t="s">
        <v>453</v>
      </c>
      <c r="L567" s="283">
        <v>44075</v>
      </c>
      <c r="M567" s="471">
        <v>45900</v>
      </c>
      <c r="N567" s="195" t="s">
        <v>141</v>
      </c>
      <c r="O567" s="466">
        <v>0</v>
      </c>
      <c r="P567" s="285" t="s">
        <v>399</v>
      </c>
      <c r="Q567" s="285" t="s">
        <v>399</v>
      </c>
      <c r="R567" s="288">
        <v>0</v>
      </c>
    </row>
    <row r="568" spans="1:18" hidden="1">
      <c r="A568" s="282">
        <v>4173</v>
      </c>
      <c r="B568" s="194"/>
      <c r="C568" s="282"/>
      <c r="D568" s="282"/>
      <c r="E568" s="282"/>
      <c r="F568" s="283"/>
      <c r="G568" s="194">
        <v>9</v>
      </c>
      <c r="H568" s="282">
        <v>10</v>
      </c>
      <c r="I568" s="282">
        <v>850</v>
      </c>
      <c r="J568" s="282" t="s">
        <v>390</v>
      </c>
      <c r="K568" s="282" t="s">
        <v>453</v>
      </c>
      <c r="L568" s="283">
        <v>44805</v>
      </c>
      <c r="M568" s="281"/>
      <c r="N568" s="195" t="s">
        <v>141</v>
      </c>
      <c r="O568" s="466">
        <v>0</v>
      </c>
      <c r="P568" s="285">
        <v>45901</v>
      </c>
      <c r="Q568" s="285">
        <v>46022</v>
      </c>
      <c r="R568" s="288">
        <v>1</v>
      </c>
    </row>
    <row r="569" spans="1:18" hidden="1">
      <c r="A569" s="282">
        <v>4173</v>
      </c>
      <c r="B569" s="194"/>
      <c r="C569" s="193"/>
      <c r="D569" s="193"/>
      <c r="E569" s="193"/>
      <c r="F569" s="281"/>
      <c r="G569" s="470">
        <v>9</v>
      </c>
      <c r="H569" s="282">
        <v>10</v>
      </c>
      <c r="I569" s="282">
        <v>850</v>
      </c>
      <c r="J569" s="282" t="s">
        <v>390</v>
      </c>
      <c r="K569" s="282" t="s">
        <v>453</v>
      </c>
      <c r="L569" s="283">
        <v>44805</v>
      </c>
      <c r="M569" s="471"/>
      <c r="N569" s="195" t="s">
        <v>141</v>
      </c>
      <c r="O569" s="466">
        <v>0</v>
      </c>
      <c r="P569" s="285">
        <v>45901</v>
      </c>
      <c r="Q569" s="285">
        <v>46022</v>
      </c>
      <c r="R569" s="288">
        <v>1</v>
      </c>
    </row>
    <row r="570" spans="1:18" hidden="1">
      <c r="A570" s="282">
        <v>4173</v>
      </c>
      <c r="B570" s="194"/>
      <c r="C570" s="193"/>
      <c r="D570" s="193"/>
      <c r="E570" s="193"/>
      <c r="F570" s="281"/>
      <c r="G570" s="470">
        <v>8</v>
      </c>
      <c r="H570" s="282">
        <v>9</v>
      </c>
      <c r="I570" s="282">
        <v>850</v>
      </c>
      <c r="J570" s="282" t="s">
        <v>390</v>
      </c>
      <c r="K570" s="282" t="s">
        <v>453</v>
      </c>
      <c r="L570" s="283">
        <v>45170</v>
      </c>
      <c r="M570" s="471"/>
      <c r="N570" s="195" t="s">
        <v>141</v>
      </c>
      <c r="O570" s="466">
        <v>0</v>
      </c>
      <c r="P570" s="285">
        <v>45901</v>
      </c>
      <c r="Q570" s="285">
        <v>46022</v>
      </c>
      <c r="R570" s="288">
        <v>1</v>
      </c>
    </row>
    <row r="571" spans="1:18" hidden="1">
      <c r="A571" s="282">
        <v>4173</v>
      </c>
      <c r="B571" s="194"/>
      <c r="C571" s="282"/>
      <c r="D571" s="282"/>
      <c r="E571" s="282"/>
      <c r="F571" s="283"/>
      <c r="G571" s="282">
        <v>9</v>
      </c>
      <c r="H571" s="282">
        <v>10</v>
      </c>
      <c r="I571" s="282">
        <v>850</v>
      </c>
      <c r="J571" s="282" t="s">
        <v>390</v>
      </c>
      <c r="K571" s="282" t="s">
        <v>453</v>
      </c>
      <c r="L571" s="283">
        <v>45536</v>
      </c>
      <c r="M571" s="471"/>
      <c r="N571" s="195" t="s">
        <v>141</v>
      </c>
      <c r="O571" s="466">
        <v>0</v>
      </c>
      <c r="P571" s="285">
        <v>45901</v>
      </c>
      <c r="Q571" s="285">
        <v>46022</v>
      </c>
      <c r="R571" s="288">
        <v>1</v>
      </c>
    </row>
    <row r="572" spans="1:18" hidden="1">
      <c r="A572" s="282">
        <v>4173</v>
      </c>
      <c r="B572" s="194"/>
      <c r="C572" s="282"/>
      <c r="D572" s="282"/>
      <c r="E572" s="282"/>
      <c r="F572" s="283"/>
      <c r="G572" s="282">
        <v>9</v>
      </c>
      <c r="H572" s="282">
        <v>10</v>
      </c>
      <c r="I572" s="282">
        <v>850</v>
      </c>
      <c r="J572" s="282" t="s">
        <v>390</v>
      </c>
      <c r="K572" s="282" t="s">
        <v>453</v>
      </c>
      <c r="L572" s="283">
        <v>44805</v>
      </c>
      <c r="M572" s="471"/>
      <c r="N572" s="195" t="s">
        <v>141</v>
      </c>
      <c r="O572" s="466">
        <v>0</v>
      </c>
      <c r="P572" s="285">
        <v>45901</v>
      </c>
      <c r="Q572" s="285">
        <v>46022</v>
      </c>
      <c r="R572" s="288">
        <v>1</v>
      </c>
    </row>
    <row r="573" spans="1:18" hidden="1">
      <c r="A573" s="282">
        <v>4173</v>
      </c>
      <c r="B573" s="194"/>
      <c r="C573" s="282"/>
      <c r="D573" s="282"/>
      <c r="E573" s="282"/>
      <c r="F573" s="283"/>
      <c r="G573" s="470">
        <v>8</v>
      </c>
      <c r="H573" s="282">
        <v>9</v>
      </c>
      <c r="I573" s="282">
        <v>850</v>
      </c>
      <c r="J573" s="282" t="s">
        <v>390</v>
      </c>
      <c r="K573" s="282" t="s">
        <v>453</v>
      </c>
      <c r="L573" s="283">
        <v>45170</v>
      </c>
      <c r="M573" s="471"/>
      <c r="N573" s="195" t="s">
        <v>141</v>
      </c>
      <c r="O573" s="466">
        <v>0</v>
      </c>
      <c r="P573" s="285">
        <v>45901</v>
      </c>
      <c r="Q573" s="285">
        <v>46022</v>
      </c>
      <c r="R573" s="288">
        <v>1</v>
      </c>
    </row>
    <row r="574" spans="1:18" hidden="1">
      <c r="A574" s="193">
        <v>4173</v>
      </c>
      <c r="B574" s="194"/>
      <c r="C574" s="193"/>
      <c r="D574" s="193"/>
      <c r="E574" s="193"/>
      <c r="F574" s="283"/>
      <c r="G574" s="483">
        <v>6</v>
      </c>
      <c r="H574" s="282">
        <v>7</v>
      </c>
      <c r="I574" s="193">
        <v>850</v>
      </c>
      <c r="J574" s="193" t="s">
        <v>390</v>
      </c>
      <c r="K574" s="193" t="s">
        <v>453</v>
      </c>
      <c r="L574" s="283">
        <v>45901</v>
      </c>
      <c r="M574" s="281"/>
      <c r="N574" s="195" t="s">
        <v>141</v>
      </c>
      <c r="O574" s="466">
        <v>0</v>
      </c>
      <c r="P574" s="285">
        <v>45901</v>
      </c>
      <c r="Q574" s="285">
        <v>46022</v>
      </c>
      <c r="R574" s="288">
        <v>1</v>
      </c>
    </row>
    <row r="575" spans="1:18" hidden="1">
      <c r="A575" s="193">
        <v>4173</v>
      </c>
      <c r="B575" s="194"/>
      <c r="C575" s="479"/>
      <c r="D575" s="479"/>
      <c r="E575" s="479"/>
      <c r="F575" s="480"/>
      <c r="G575" s="479">
        <v>10</v>
      </c>
      <c r="H575" s="282">
        <v>11</v>
      </c>
      <c r="I575" s="193">
        <v>850</v>
      </c>
      <c r="J575" s="193" t="s">
        <v>390</v>
      </c>
      <c r="K575" s="193" t="s">
        <v>453</v>
      </c>
      <c r="L575" s="283">
        <v>44440</v>
      </c>
      <c r="M575" s="285"/>
      <c r="N575" s="195" t="s">
        <v>141</v>
      </c>
      <c r="O575" s="466">
        <v>0</v>
      </c>
      <c r="P575" s="285">
        <v>45901</v>
      </c>
      <c r="Q575" s="285">
        <v>46022</v>
      </c>
      <c r="R575" s="288">
        <v>1</v>
      </c>
    </row>
    <row r="576" spans="1:18" hidden="1">
      <c r="A576" s="193">
        <v>4173</v>
      </c>
      <c r="B576" s="194"/>
      <c r="C576" s="193"/>
      <c r="D576" s="193"/>
      <c r="E576" s="193"/>
      <c r="F576" s="283"/>
      <c r="G576" s="479">
        <v>6</v>
      </c>
      <c r="H576" s="282">
        <v>7</v>
      </c>
      <c r="I576" s="193">
        <v>850</v>
      </c>
      <c r="J576" s="193" t="s">
        <v>390</v>
      </c>
      <c r="K576" s="193" t="s">
        <v>453</v>
      </c>
      <c r="L576" s="283">
        <v>45901</v>
      </c>
      <c r="M576" s="285"/>
      <c r="N576" s="195" t="s">
        <v>141</v>
      </c>
      <c r="O576" s="466">
        <v>0</v>
      </c>
      <c r="P576" s="285">
        <v>45901</v>
      </c>
      <c r="Q576" s="285">
        <v>46022</v>
      </c>
      <c r="R576" s="288">
        <v>1</v>
      </c>
    </row>
    <row r="577" spans="1:18" hidden="1">
      <c r="A577" s="193">
        <v>4173</v>
      </c>
      <c r="B577" s="194"/>
      <c r="C577" s="193"/>
      <c r="D577" s="193"/>
      <c r="E577" s="193"/>
      <c r="F577" s="283"/>
      <c r="G577" s="194">
        <v>7</v>
      </c>
      <c r="H577" s="282">
        <v>8</v>
      </c>
      <c r="I577" s="193">
        <v>850</v>
      </c>
      <c r="J577" s="193" t="s">
        <v>390</v>
      </c>
      <c r="K577" s="193" t="s">
        <v>453</v>
      </c>
      <c r="L577" s="283">
        <v>45536</v>
      </c>
      <c r="M577" s="285"/>
      <c r="N577" s="195" t="s">
        <v>141</v>
      </c>
      <c r="O577" s="466">
        <v>0</v>
      </c>
      <c r="P577" s="285">
        <v>45901</v>
      </c>
      <c r="Q577" s="285">
        <v>46022</v>
      </c>
      <c r="R577" s="288">
        <v>1</v>
      </c>
    </row>
    <row r="578" spans="1:18" hidden="1">
      <c r="A578" s="193">
        <v>4173</v>
      </c>
      <c r="B578" s="194"/>
      <c r="C578" s="282"/>
      <c r="D578" s="282"/>
      <c r="E578" s="282"/>
      <c r="F578" s="283"/>
      <c r="G578" s="470">
        <v>8</v>
      </c>
      <c r="H578" s="282">
        <v>9</v>
      </c>
      <c r="I578" s="282">
        <v>850</v>
      </c>
      <c r="J578" s="282" t="s">
        <v>390</v>
      </c>
      <c r="K578" s="282" t="s">
        <v>453</v>
      </c>
      <c r="L578" s="283">
        <v>45170</v>
      </c>
      <c r="M578" s="471"/>
      <c r="N578" s="195" t="s">
        <v>141</v>
      </c>
      <c r="O578" s="466">
        <v>0</v>
      </c>
      <c r="P578" s="285">
        <v>45901</v>
      </c>
      <c r="Q578" s="285">
        <v>46022</v>
      </c>
      <c r="R578" s="288">
        <v>1</v>
      </c>
    </row>
    <row r="579" spans="1:18" hidden="1">
      <c r="A579" s="193">
        <v>4173</v>
      </c>
      <c r="B579" s="194"/>
      <c r="C579" s="282"/>
      <c r="D579" s="282"/>
      <c r="E579" s="282"/>
      <c r="F579" s="283"/>
      <c r="G579" s="470">
        <v>11</v>
      </c>
      <c r="H579" s="282">
        <v>12</v>
      </c>
      <c r="I579" s="282">
        <v>850</v>
      </c>
      <c r="J579" s="282" t="s">
        <v>390</v>
      </c>
      <c r="K579" s="282" t="s">
        <v>453</v>
      </c>
      <c r="L579" s="283">
        <v>44075</v>
      </c>
      <c r="M579" s="471">
        <v>45900</v>
      </c>
      <c r="N579" s="195" t="s">
        <v>141</v>
      </c>
      <c r="O579" s="466">
        <v>0</v>
      </c>
      <c r="P579" s="285" t="s">
        <v>399</v>
      </c>
      <c r="Q579" s="285" t="s">
        <v>399</v>
      </c>
      <c r="R579" s="288">
        <v>0</v>
      </c>
    </row>
    <row r="580" spans="1:18" hidden="1">
      <c r="A580" s="193">
        <v>4173</v>
      </c>
      <c r="B580" s="194"/>
      <c r="C580" s="282"/>
      <c r="D580" s="282"/>
      <c r="E580" s="282"/>
      <c r="F580" s="283"/>
      <c r="G580" s="470">
        <v>10</v>
      </c>
      <c r="H580" s="282">
        <v>11</v>
      </c>
      <c r="I580" s="282">
        <v>850</v>
      </c>
      <c r="J580" s="282" t="s">
        <v>390</v>
      </c>
      <c r="K580" s="282" t="s">
        <v>453</v>
      </c>
      <c r="L580" s="283">
        <v>44440</v>
      </c>
      <c r="M580" s="471"/>
      <c r="N580" s="195" t="s">
        <v>141</v>
      </c>
      <c r="O580" s="466">
        <v>0</v>
      </c>
      <c r="P580" s="285">
        <v>45901</v>
      </c>
      <c r="Q580" s="285">
        <v>46022</v>
      </c>
      <c r="R580" s="288">
        <v>1</v>
      </c>
    </row>
    <row r="581" spans="1:18" hidden="1">
      <c r="A581" s="193">
        <v>4173</v>
      </c>
      <c r="B581" s="194"/>
      <c r="C581" s="193"/>
      <c r="D581" s="194"/>
      <c r="E581" s="194"/>
      <c r="F581" s="286"/>
      <c r="G581" s="479">
        <v>6</v>
      </c>
      <c r="H581" s="282">
        <v>7</v>
      </c>
      <c r="I581" s="193">
        <v>850</v>
      </c>
      <c r="J581" s="193" t="s">
        <v>390</v>
      </c>
      <c r="K581" s="194" t="s">
        <v>453</v>
      </c>
      <c r="L581" s="283">
        <v>45901</v>
      </c>
      <c r="M581" s="281"/>
      <c r="N581" s="195" t="s">
        <v>141</v>
      </c>
      <c r="O581" s="466">
        <v>0</v>
      </c>
      <c r="P581" s="285">
        <v>45901</v>
      </c>
      <c r="Q581" s="285">
        <v>46022</v>
      </c>
      <c r="R581" s="288">
        <v>1</v>
      </c>
    </row>
    <row r="582" spans="1:18" hidden="1">
      <c r="A582" s="193">
        <v>4173</v>
      </c>
      <c r="B582" s="194"/>
      <c r="C582" s="193"/>
      <c r="D582" s="194"/>
      <c r="E582" s="194"/>
      <c r="F582" s="286"/>
      <c r="G582" s="483">
        <v>6</v>
      </c>
      <c r="H582" s="282">
        <v>7</v>
      </c>
      <c r="I582" s="193">
        <v>850</v>
      </c>
      <c r="J582" s="193" t="s">
        <v>390</v>
      </c>
      <c r="K582" s="194" t="s">
        <v>453</v>
      </c>
      <c r="L582" s="283">
        <v>45901</v>
      </c>
      <c r="M582" s="281"/>
      <c r="N582" s="195" t="s">
        <v>141</v>
      </c>
      <c r="O582" s="466">
        <v>0</v>
      </c>
      <c r="P582" s="285">
        <v>45901</v>
      </c>
      <c r="Q582" s="285">
        <v>46022</v>
      </c>
      <c r="R582" s="288">
        <v>1</v>
      </c>
    </row>
    <row r="583" spans="1:18" hidden="1">
      <c r="A583" s="193">
        <v>4174</v>
      </c>
      <c r="B583" s="194"/>
      <c r="C583" s="193"/>
      <c r="D583" s="194"/>
      <c r="E583" s="194"/>
      <c r="F583" s="286"/>
      <c r="G583" s="194">
        <v>9</v>
      </c>
      <c r="H583" s="282">
        <v>10</v>
      </c>
      <c r="I583" s="193">
        <v>850</v>
      </c>
      <c r="J583" s="193" t="s">
        <v>390</v>
      </c>
      <c r="K583" s="194" t="s">
        <v>454</v>
      </c>
      <c r="L583" s="283">
        <v>44805</v>
      </c>
      <c r="M583" s="281"/>
      <c r="N583" s="195" t="s">
        <v>215</v>
      </c>
      <c r="O583" s="466">
        <v>0</v>
      </c>
      <c r="P583" s="285">
        <v>45901</v>
      </c>
      <c r="Q583" s="285">
        <v>46022</v>
      </c>
      <c r="R583" s="288">
        <v>1</v>
      </c>
    </row>
    <row r="584" spans="1:18" hidden="1">
      <c r="A584" s="193">
        <v>4174</v>
      </c>
      <c r="B584" s="194"/>
      <c r="C584" s="282"/>
      <c r="D584" s="282"/>
      <c r="E584" s="282"/>
      <c r="F584" s="283"/>
      <c r="G584" s="282">
        <v>9</v>
      </c>
      <c r="H584" s="282">
        <v>10</v>
      </c>
      <c r="I584" s="282">
        <v>850</v>
      </c>
      <c r="J584" s="282" t="s">
        <v>390</v>
      </c>
      <c r="K584" s="470" t="s">
        <v>454</v>
      </c>
      <c r="L584" s="283">
        <v>44805</v>
      </c>
      <c r="M584" s="281"/>
      <c r="N584" s="195" t="s">
        <v>215</v>
      </c>
      <c r="O584" s="466">
        <v>0</v>
      </c>
      <c r="P584" s="285">
        <v>45901</v>
      </c>
      <c r="Q584" s="285">
        <v>46022</v>
      </c>
      <c r="R584" s="288">
        <v>1</v>
      </c>
    </row>
    <row r="585" spans="1:18" hidden="1">
      <c r="A585" s="193">
        <v>4174</v>
      </c>
      <c r="B585" s="194"/>
      <c r="C585" s="193"/>
      <c r="D585" s="193"/>
      <c r="E585" s="193"/>
      <c r="F585" s="283"/>
      <c r="G585" s="193">
        <v>10</v>
      </c>
      <c r="H585" s="282">
        <v>11</v>
      </c>
      <c r="I585" s="193">
        <v>850</v>
      </c>
      <c r="J585" s="193" t="s">
        <v>390</v>
      </c>
      <c r="K585" s="194" t="s">
        <v>454</v>
      </c>
      <c r="L585" s="283">
        <v>45016</v>
      </c>
      <c r="M585" s="281"/>
      <c r="N585" s="195" t="s">
        <v>215</v>
      </c>
      <c r="O585" s="466">
        <v>0</v>
      </c>
      <c r="P585" s="285">
        <v>45901</v>
      </c>
      <c r="Q585" s="285">
        <v>46022</v>
      </c>
      <c r="R585" s="288">
        <v>1</v>
      </c>
    </row>
    <row r="586" spans="1:18" hidden="1">
      <c r="A586" s="193">
        <v>4174</v>
      </c>
      <c r="B586" s="194"/>
      <c r="C586" s="193"/>
      <c r="D586" s="193"/>
      <c r="E586" s="193"/>
      <c r="F586" s="283"/>
      <c r="G586" s="193">
        <v>8</v>
      </c>
      <c r="H586" s="282">
        <v>9</v>
      </c>
      <c r="I586" s="193">
        <v>850</v>
      </c>
      <c r="J586" s="193" t="s">
        <v>390</v>
      </c>
      <c r="K586" s="194" t="s">
        <v>454</v>
      </c>
      <c r="L586" s="283">
        <v>45259</v>
      </c>
      <c r="M586" s="281"/>
      <c r="N586" s="195" t="s">
        <v>215</v>
      </c>
      <c r="O586" s="466">
        <v>0</v>
      </c>
      <c r="P586" s="285">
        <v>45901</v>
      </c>
      <c r="Q586" s="285">
        <v>46022</v>
      </c>
      <c r="R586" s="288">
        <v>1</v>
      </c>
    </row>
    <row r="587" spans="1:18" hidden="1">
      <c r="A587" s="193">
        <v>4174</v>
      </c>
      <c r="B587" s="194"/>
      <c r="C587" s="282"/>
      <c r="D587" s="282"/>
      <c r="E587" s="282"/>
      <c r="F587" s="283"/>
      <c r="G587" s="479">
        <v>7</v>
      </c>
      <c r="H587" s="282">
        <v>8</v>
      </c>
      <c r="I587" s="282">
        <v>850</v>
      </c>
      <c r="J587" s="282" t="s">
        <v>390</v>
      </c>
      <c r="K587" s="470" t="s">
        <v>454</v>
      </c>
      <c r="L587" s="283">
        <v>45536</v>
      </c>
      <c r="M587" s="284"/>
      <c r="N587" s="195" t="s">
        <v>215</v>
      </c>
      <c r="O587" s="466">
        <v>0</v>
      </c>
      <c r="P587" s="285">
        <v>45901</v>
      </c>
      <c r="Q587" s="285">
        <v>46022</v>
      </c>
      <c r="R587" s="288">
        <v>1</v>
      </c>
    </row>
    <row r="588" spans="1:18" hidden="1">
      <c r="A588" s="193">
        <v>4174</v>
      </c>
      <c r="B588" s="194"/>
      <c r="C588" s="282"/>
      <c r="D588" s="282"/>
      <c r="E588" s="282"/>
      <c r="F588" s="283"/>
      <c r="G588" s="479">
        <v>11</v>
      </c>
      <c r="H588" s="282">
        <v>12</v>
      </c>
      <c r="I588" s="282">
        <v>850</v>
      </c>
      <c r="J588" s="282" t="s">
        <v>390</v>
      </c>
      <c r="K588" s="470" t="s">
        <v>454</v>
      </c>
      <c r="L588" s="283">
        <v>44075</v>
      </c>
      <c r="M588" s="284">
        <v>45900</v>
      </c>
      <c r="N588" s="195" t="s">
        <v>215</v>
      </c>
      <c r="O588" s="466">
        <v>0</v>
      </c>
      <c r="P588" s="285" t="s">
        <v>399</v>
      </c>
      <c r="Q588" s="285" t="s">
        <v>399</v>
      </c>
      <c r="R588" s="288">
        <v>0</v>
      </c>
    </row>
    <row r="589" spans="1:18" hidden="1">
      <c r="A589" s="193">
        <v>4180</v>
      </c>
      <c r="B589" s="194"/>
      <c r="C589" s="282"/>
      <c r="D589" s="282"/>
      <c r="E589" s="282"/>
      <c r="F589" s="283"/>
      <c r="G589" s="479">
        <v>10</v>
      </c>
      <c r="H589" s="282">
        <v>11</v>
      </c>
      <c r="I589" s="282">
        <v>850</v>
      </c>
      <c r="J589" s="282" t="s">
        <v>390</v>
      </c>
      <c r="K589" s="470" t="s">
        <v>455</v>
      </c>
      <c r="L589" s="283">
        <v>44440</v>
      </c>
      <c r="M589" s="284"/>
      <c r="N589" s="195" t="s">
        <v>142</v>
      </c>
      <c r="O589" s="466">
        <v>0</v>
      </c>
      <c r="P589" s="285">
        <v>45901</v>
      </c>
      <c r="Q589" s="285">
        <v>46022</v>
      </c>
      <c r="R589" s="288">
        <v>1</v>
      </c>
    </row>
    <row r="590" spans="1:18" hidden="1">
      <c r="A590" s="193">
        <v>4180</v>
      </c>
      <c r="B590" s="194"/>
      <c r="C590" s="282"/>
      <c r="D590" s="282"/>
      <c r="E590" s="282"/>
      <c r="F590" s="283"/>
      <c r="G590" s="479">
        <v>10</v>
      </c>
      <c r="H590" s="282">
        <v>11</v>
      </c>
      <c r="I590" s="282">
        <v>850</v>
      </c>
      <c r="J590" s="282" t="s">
        <v>390</v>
      </c>
      <c r="K590" s="470" t="s">
        <v>455</v>
      </c>
      <c r="L590" s="283">
        <v>44440</v>
      </c>
      <c r="M590" s="284"/>
      <c r="N590" s="195" t="s">
        <v>142</v>
      </c>
      <c r="O590" s="466">
        <v>0</v>
      </c>
      <c r="P590" s="285">
        <v>45901</v>
      </c>
      <c r="Q590" s="285">
        <v>46022</v>
      </c>
      <c r="R590" s="288">
        <v>1</v>
      </c>
    </row>
    <row r="591" spans="1:18" hidden="1">
      <c r="A591" s="193">
        <v>4180</v>
      </c>
      <c r="B591" s="194"/>
      <c r="C591" s="193"/>
      <c r="D591" s="193"/>
      <c r="E591" s="193"/>
      <c r="F591" s="283"/>
      <c r="G591" s="193">
        <v>10</v>
      </c>
      <c r="H591" s="282">
        <v>11</v>
      </c>
      <c r="I591" s="193">
        <v>850</v>
      </c>
      <c r="J591" s="193" t="s">
        <v>390</v>
      </c>
      <c r="K591" s="194" t="s">
        <v>455</v>
      </c>
      <c r="L591" s="283">
        <v>44440</v>
      </c>
      <c r="M591" s="285"/>
      <c r="N591" s="195" t="s">
        <v>142</v>
      </c>
      <c r="O591" s="466">
        <v>0</v>
      </c>
      <c r="P591" s="285">
        <v>45901</v>
      </c>
      <c r="Q591" s="285">
        <v>46022</v>
      </c>
      <c r="R591" s="288">
        <v>1</v>
      </c>
    </row>
    <row r="592" spans="1:18" hidden="1">
      <c r="A592" s="193">
        <v>4180</v>
      </c>
      <c r="B592" s="194"/>
      <c r="C592" s="193"/>
      <c r="D592" s="193"/>
      <c r="E592" s="193"/>
      <c r="F592" s="283"/>
      <c r="G592" s="193">
        <v>9</v>
      </c>
      <c r="H592" s="282">
        <v>10</v>
      </c>
      <c r="I592" s="193">
        <v>850</v>
      </c>
      <c r="J592" s="193" t="s">
        <v>390</v>
      </c>
      <c r="K592" s="194" t="s">
        <v>455</v>
      </c>
      <c r="L592" s="283">
        <v>44805</v>
      </c>
      <c r="M592" s="281"/>
      <c r="N592" s="195" t="s">
        <v>142</v>
      </c>
      <c r="O592" s="466">
        <v>0</v>
      </c>
      <c r="P592" s="285">
        <v>45901</v>
      </c>
      <c r="Q592" s="285">
        <v>46022</v>
      </c>
      <c r="R592" s="288">
        <v>1</v>
      </c>
    </row>
    <row r="593" spans="1:18" hidden="1">
      <c r="A593" s="282">
        <v>4180</v>
      </c>
      <c r="B593" s="194"/>
      <c r="C593" s="282"/>
      <c r="D593" s="282"/>
      <c r="E593" s="282"/>
      <c r="F593" s="283"/>
      <c r="G593" s="282">
        <v>8</v>
      </c>
      <c r="H593" s="282">
        <v>9</v>
      </c>
      <c r="I593" s="282">
        <v>850</v>
      </c>
      <c r="J593" s="282" t="s">
        <v>390</v>
      </c>
      <c r="K593" s="470" t="s">
        <v>455</v>
      </c>
      <c r="L593" s="283">
        <v>45170</v>
      </c>
      <c r="M593" s="284"/>
      <c r="N593" s="195" t="s">
        <v>142</v>
      </c>
      <c r="O593" s="466">
        <v>0</v>
      </c>
      <c r="P593" s="285">
        <v>45901</v>
      </c>
      <c r="Q593" s="285">
        <v>46022</v>
      </c>
      <c r="R593" s="288">
        <v>1</v>
      </c>
    </row>
    <row r="594" spans="1:18" hidden="1">
      <c r="A594" s="282">
        <v>4180</v>
      </c>
      <c r="B594" s="194"/>
      <c r="C594" s="282"/>
      <c r="D594" s="282"/>
      <c r="E594" s="282"/>
      <c r="F594" s="283"/>
      <c r="G594" s="282">
        <v>9</v>
      </c>
      <c r="H594" s="282">
        <v>10</v>
      </c>
      <c r="I594" s="282">
        <v>850</v>
      </c>
      <c r="J594" s="282" t="s">
        <v>390</v>
      </c>
      <c r="K594" s="282" t="s">
        <v>455</v>
      </c>
      <c r="L594" s="283">
        <v>44805</v>
      </c>
      <c r="M594" s="284"/>
      <c r="N594" s="195" t="s">
        <v>142</v>
      </c>
      <c r="O594" s="466">
        <v>0</v>
      </c>
      <c r="P594" s="285">
        <v>45901</v>
      </c>
      <c r="Q594" s="285">
        <v>46022</v>
      </c>
      <c r="R594" s="288">
        <v>1</v>
      </c>
    </row>
    <row r="595" spans="1:18" hidden="1">
      <c r="A595" s="282">
        <v>4180</v>
      </c>
      <c r="B595" s="194"/>
      <c r="C595" s="282"/>
      <c r="D595" s="282"/>
      <c r="E595" s="282"/>
      <c r="F595" s="283"/>
      <c r="G595" s="282">
        <v>9</v>
      </c>
      <c r="H595" s="282">
        <v>10</v>
      </c>
      <c r="I595" s="282">
        <v>850</v>
      </c>
      <c r="J595" s="282" t="s">
        <v>390</v>
      </c>
      <c r="K595" s="282" t="s">
        <v>455</v>
      </c>
      <c r="L595" s="283">
        <v>44805</v>
      </c>
      <c r="M595" s="284"/>
      <c r="N595" s="195" t="s">
        <v>142</v>
      </c>
      <c r="O595" s="466">
        <v>0</v>
      </c>
      <c r="P595" s="285">
        <v>45901</v>
      </c>
      <c r="Q595" s="285">
        <v>46022</v>
      </c>
      <c r="R595" s="288">
        <v>1</v>
      </c>
    </row>
    <row r="596" spans="1:18" hidden="1">
      <c r="A596" s="470">
        <v>4180</v>
      </c>
      <c r="B596" s="194"/>
      <c r="C596" s="282"/>
      <c r="D596" s="282"/>
      <c r="E596" s="282"/>
      <c r="F596" s="283"/>
      <c r="G596" s="470">
        <v>8</v>
      </c>
      <c r="H596" s="282">
        <v>9</v>
      </c>
      <c r="I596" s="282">
        <v>850</v>
      </c>
      <c r="J596" s="282" t="s">
        <v>390</v>
      </c>
      <c r="K596" s="282" t="s">
        <v>455</v>
      </c>
      <c r="L596" s="283">
        <v>45170</v>
      </c>
      <c r="M596" s="284"/>
      <c r="N596" s="195" t="s">
        <v>142</v>
      </c>
      <c r="O596" s="466">
        <v>0</v>
      </c>
      <c r="P596" s="285">
        <v>45901</v>
      </c>
      <c r="Q596" s="285">
        <v>46022</v>
      </c>
      <c r="R596" s="288">
        <v>1</v>
      </c>
    </row>
    <row r="597" spans="1:18" hidden="1">
      <c r="A597" s="470">
        <v>4180</v>
      </c>
      <c r="B597" s="194"/>
      <c r="C597" s="282"/>
      <c r="D597" s="282"/>
      <c r="E597" s="282"/>
      <c r="F597" s="283"/>
      <c r="G597" s="483">
        <v>10</v>
      </c>
      <c r="H597" s="282">
        <v>11</v>
      </c>
      <c r="I597" s="282">
        <v>850</v>
      </c>
      <c r="J597" s="282" t="s">
        <v>390</v>
      </c>
      <c r="K597" s="282" t="s">
        <v>455</v>
      </c>
      <c r="L597" s="283">
        <v>44440</v>
      </c>
      <c r="M597" s="284"/>
      <c r="N597" s="195" t="s">
        <v>142</v>
      </c>
      <c r="O597" s="466">
        <v>0</v>
      </c>
      <c r="P597" s="285">
        <v>45901</v>
      </c>
      <c r="Q597" s="285">
        <v>46022</v>
      </c>
      <c r="R597" s="288">
        <v>1</v>
      </c>
    </row>
    <row r="598" spans="1:18" hidden="1">
      <c r="A598" s="282">
        <v>4191</v>
      </c>
      <c r="B598" s="194"/>
      <c r="C598" s="479"/>
      <c r="D598" s="479"/>
      <c r="E598" s="479"/>
      <c r="F598" s="480"/>
      <c r="G598" s="483">
        <v>10</v>
      </c>
      <c r="H598" s="282">
        <v>11</v>
      </c>
      <c r="I598" s="282">
        <v>850</v>
      </c>
      <c r="J598" s="282" t="s">
        <v>390</v>
      </c>
      <c r="K598" s="282" t="s">
        <v>456</v>
      </c>
      <c r="L598" s="283">
        <v>44440</v>
      </c>
      <c r="M598" s="284"/>
      <c r="N598" s="195" t="s">
        <v>240</v>
      </c>
      <c r="O598" s="466">
        <v>0</v>
      </c>
      <c r="P598" s="285">
        <v>45901</v>
      </c>
      <c r="Q598" s="285">
        <v>46022</v>
      </c>
      <c r="R598" s="288">
        <v>1</v>
      </c>
    </row>
    <row r="599" spans="1:18" hidden="1">
      <c r="A599" s="282">
        <v>4191</v>
      </c>
      <c r="B599" s="194"/>
      <c r="C599" s="479"/>
      <c r="D599" s="282"/>
      <c r="E599" s="282"/>
      <c r="F599" s="283"/>
      <c r="G599" s="470">
        <v>9</v>
      </c>
      <c r="H599" s="282">
        <v>10</v>
      </c>
      <c r="I599" s="282">
        <v>850</v>
      </c>
      <c r="J599" s="282" t="s">
        <v>390</v>
      </c>
      <c r="K599" s="282" t="s">
        <v>456</v>
      </c>
      <c r="L599" s="283">
        <v>44805</v>
      </c>
      <c r="M599" s="471"/>
      <c r="N599" s="195" t="s">
        <v>218</v>
      </c>
      <c r="O599" s="466">
        <v>0</v>
      </c>
      <c r="P599" s="285">
        <v>45901</v>
      </c>
      <c r="Q599" s="285">
        <v>46022</v>
      </c>
      <c r="R599" s="288">
        <v>1</v>
      </c>
    </row>
    <row r="600" spans="1:18" hidden="1">
      <c r="A600" s="282">
        <v>4191</v>
      </c>
      <c r="B600" s="194"/>
      <c r="C600" s="479"/>
      <c r="D600" s="282"/>
      <c r="E600" s="282"/>
      <c r="F600" s="283"/>
      <c r="G600" s="470">
        <v>11</v>
      </c>
      <c r="H600" s="282">
        <v>12</v>
      </c>
      <c r="I600" s="282">
        <v>850</v>
      </c>
      <c r="J600" s="282" t="s">
        <v>390</v>
      </c>
      <c r="K600" s="282" t="s">
        <v>456</v>
      </c>
      <c r="L600" s="283">
        <v>44075</v>
      </c>
      <c r="M600" s="284">
        <v>45900</v>
      </c>
      <c r="N600" s="195" t="s">
        <v>218</v>
      </c>
      <c r="O600" s="466">
        <v>0</v>
      </c>
      <c r="P600" s="285" t="s">
        <v>399</v>
      </c>
      <c r="Q600" s="285" t="s">
        <v>399</v>
      </c>
      <c r="R600" s="288">
        <v>0</v>
      </c>
    </row>
    <row r="601" spans="1:18" hidden="1">
      <c r="A601" s="194">
        <v>4191</v>
      </c>
      <c r="B601" s="194"/>
      <c r="C601" s="193"/>
      <c r="D601" s="193"/>
      <c r="E601" s="193"/>
      <c r="F601" s="283"/>
      <c r="G601" s="193">
        <v>11</v>
      </c>
      <c r="H601" s="282">
        <v>12</v>
      </c>
      <c r="I601" s="193">
        <v>850</v>
      </c>
      <c r="J601" s="193" t="s">
        <v>390</v>
      </c>
      <c r="K601" s="193" t="s">
        <v>456</v>
      </c>
      <c r="L601" s="283">
        <v>44075</v>
      </c>
      <c r="M601" s="281">
        <v>45900</v>
      </c>
      <c r="N601" s="195" t="s">
        <v>218</v>
      </c>
      <c r="O601" s="466">
        <v>0</v>
      </c>
      <c r="P601" s="285" t="s">
        <v>399</v>
      </c>
      <c r="Q601" s="285" t="s">
        <v>399</v>
      </c>
      <c r="R601" s="288">
        <v>0</v>
      </c>
    </row>
    <row r="602" spans="1:18" hidden="1">
      <c r="A602" s="194">
        <v>4191</v>
      </c>
      <c r="B602" s="194"/>
      <c r="C602" s="193"/>
      <c r="D602" s="193"/>
      <c r="E602" s="193"/>
      <c r="F602" s="283"/>
      <c r="G602" s="193">
        <v>8</v>
      </c>
      <c r="H602" s="282">
        <v>9</v>
      </c>
      <c r="I602" s="193">
        <v>850</v>
      </c>
      <c r="J602" s="193" t="s">
        <v>390</v>
      </c>
      <c r="K602" s="193" t="s">
        <v>457</v>
      </c>
      <c r="L602" s="286">
        <v>45170</v>
      </c>
      <c r="M602" s="285"/>
      <c r="N602" s="194" t="s">
        <v>130</v>
      </c>
      <c r="O602" s="466">
        <v>0</v>
      </c>
      <c r="P602" s="285">
        <v>45901</v>
      </c>
      <c r="Q602" s="285">
        <v>46022</v>
      </c>
      <c r="R602" s="288">
        <v>1</v>
      </c>
    </row>
    <row r="603" spans="1:18" hidden="1">
      <c r="A603" s="194">
        <v>4191</v>
      </c>
      <c r="B603" s="194"/>
      <c r="C603" s="193"/>
      <c r="D603" s="193"/>
      <c r="E603" s="193"/>
      <c r="F603" s="283"/>
      <c r="G603" s="193">
        <v>7</v>
      </c>
      <c r="H603" s="282">
        <v>8</v>
      </c>
      <c r="I603" s="193">
        <v>850</v>
      </c>
      <c r="J603" s="193" t="s">
        <v>390</v>
      </c>
      <c r="K603" s="193" t="s">
        <v>456</v>
      </c>
      <c r="L603" s="283">
        <v>45536</v>
      </c>
      <c r="M603" s="285"/>
      <c r="N603" s="194" t="s">
        <v>218</v>
      </c>
      <c r="O603" s="466">
        <v>0</v>
      </c>
      <c r="P603" s="285">
        <v>45901</v>
      </c>
      <c r="Q603" s="285">
        <v>46022</v>
      </c>
      <c r="R603" s="288">
        <v>1</v>
      </c>
    </row>
    <row r="604" spans="1:18" hidden="1">
      <c r="A604" s="470">
        <v>4191</v>
      </c>
      <c r="B604" s="194"/>
      <c r="C604" s="282"/>
      <c r="D604" s="282"/>
      <c r="E604" s="282"/>
      <c r="F604" s="283"/>
      <c r="G604" s="282">
        <v>12</v>
      </c>
      <c r="H604" s="282">
        <v>13</v>
      </c>
      <c r="I604" s="282">
        <v>850</v>
      </c>
      <c r="J604" s="282" t="s">
        <v>390</v>
      </c>
      <c r="K604" s="282" t="s">
        <v>456</v>
      </c>
      <c r="L604" s="283">
        <v>45901</v>
      </c>
      <c r="M604" s="471"/>
      <c r="N604" s="195" t="s">
        <v>218</v>
      </c>
      <c r="O604" s="466">
        <v>0</v>
      </c>
      <c r="P604" s="285">
        <v>45901</v>
      </c>
      <c r="Q604" s="285">
        <v>46022</v>
      </c>
      <c r="R604" s="288">
        <v>1</v>
      </c>
    </row>
    <row r="605" spans="1:18" hidden="1">
      <c r="A605" s="470">
        <v>4191</v>
      </c>
      <c r="B605" s="194"/>
      <c r="C605" s="282"/>
      <c r="D605" s="282"/>
      <c r="E605" s="282"/>
      <c r="F605" s="283"/>
      <c r="G605" s="282">
        <v>7</v>
      </c>
      <c r="H605" s="282">
        <v>8</v>
      </c>
      <c r="I605" s="282">
        <v>850</v>
      </c>
      <c r="J605" s="282" t="s">
        <v>390</v>
      </c>
      <c r="K605" s="282" t="s">
        <v>457</v>
      </c>
      <c r="L605" s="283">
        <v>45536</v>
      </c>
      <c r="M605" s="471"/>
      <c r="N605" s="195" t="s">
        <v>130</v>
      </c>
      <c r="O605" s="466">
        <v>0</v>
      </c>
      <c r="P605" s="285">
        <v>45901</v>
      </c>
      <c r="Q605" s="285">
        <v>46022</v>
      </c>
      <c r="R605" s="288">
        <v>1</v>
      </c>
    </row>
    <row r="606" spans="1:18" hidden="1">
      <c r="A606" s="282">
        <v>4191</v>
      </c>
      <c r="B606" s="194"/>
      <c r="C606" s="282"/>
      <c r="D606" s="282"/>
      <c r="E606" s="282"/>
      <c r="F606" s="283"/>
      <c r="G606" s="470">
        <v>11</v>
      </c>
      <c r="H606" s="282">
        <v>12</v>
      </c>
      <c r="I606" s="282">
        <v>850</v>
      </c>
      <c r="J606" s="282" t="s">
        <v>390</v>
      </c>
      <c r="K606" s="282" t="s">
        <v>457</v>
      </c>
      <c r="L606" s="283">
        <v>44075</v>
      </c>
      <c r="M606" s="471">
        <v>45900</v>
      </c>
      <c r="N606" s="195" t="s">
        <v>130</v>
      </c>
      <c r="O606" s="466">
        <v>0</v>
      </c>
      <c r="P606" s="285" t="s">
        <v>399</v>
      </c>
      <c r="Q606" s="285" t="s">
        <v>399</v>
      </c>
      <c r="R606" s="288">
        <v>0</v>
      </c>
    </row>
    <row r="607" spans="1:18" hidden="1">
      <c r="A607" s="194">
        <v>4191</v>
      </c>
      <c r="B607" s="194"/>
      <c r="C607" s="193"/>
      <c r="D607" s="193"/>
      <c r="E607" s="193"/>
      <c r="F607" s="283"/>
      <c r="G607" s="194">
        <v>9</v>
      </c>
      <c r="H607" s="282">
        <v>10</v>
      </c>
      <c r="I607" s="193">
        <v>850</v>
      </c>
      <c r="J607" s="193" t="s">
        <v>390</v>
      </c>
      <c r="K607" s="193" t="s">
        <v>457</v>
      </c>
      <c r="L607" s="283">
        <v>45901</v>
      </c>
      <c r="M607" s="285"/>
      <c r="N607" s="195" t="s">
        <v>130</v>
      </c>
      <c r="O607" s="466">
        <v>0</v>
      </c>
      <c r="P607" s="285">
        <v>45901</v>
      </c>
      <c r="Q607" s="285">
        <v>46022</v>
      </c>
      <c r="R607" s="288">
        <v>1</v>
      </c>
    </row>
    <row r="608" spans="1:18" hidden="1">
      <c r="A608" s="470">
        <v>4191</v>
      </c>
      <c r="B608" s="194"/>
      <c r="C608" s="282"/>
      <c r="D608" s="282"/>
      <c r="E608" s="282"/>
      <c r="F608" s="283"/>
      <c r="G608" s="470">
        <v>9</v>
      </c>
      <c r="H608" s="282">
        <v>10</v>
      </c>
      <c r="I608" s="282">
        <v>850</v>
      </c>
      <c r="J608" s="282" t="s">
        <v>390</v>
      </c>
      <c r="K608" s="282" t="s">
        <v>457</v>
      </c>
      <c r="L608" s="283">
        <v>45901</v>
      </c>
      <c r="M608" s="281"/>
      <c r="N608" s="195" t="s">
        <v>130</v>
      </c>
      <c r="O608" s="466">
        <v>0</v>
      </c>
      <c r="P608" s="285">
        <v>45901</v>
      </c>
      <c r="Q608" s="285">
        <v>46022</v>
      </c>
      <c r="R608" s="288">
        <v>1</v>
      </c>
    </row>
    <row r="609" spans="1:18" hidden="1">
      <c r="A609" s="470">
        <v>4191</v>
      </c>
      <c r="B609" s="194"/>
      <c r="C609" s="479"/>
      <c r="D609" s="479"/>
      <c r="E609" s="479"/>
      <c r="F609" s="480"/>
      <c r="G609" s="483">
        <v>11</v>
      </c>
      <c r="H609" s="282">
        <v>12</v>
      </c>
      <c r="I609" s="282">
        <v>850</v>
      </c>
      <c r="J609" s="282" t="s">
        <v>390</v>
      </c>
      <c r="K609" s="282" t="s">
        <v>457</v>
      </c>
      <c r="L609" s="283">
        <v>45536</v>
      </c>
      <c r="M609" s="471">
        <v>45900</v>
      </c>
      <c r="N609" s="194" t="s">
        <v>130</v>
      </c>
      <c r="O609" s="466">
        <v>0</v>
      </c>
      <c r="P609" s="285" t="s">
        <v>399</v>
      </c>
      <c r="Q609" s="285" t="s">
        <v>399</v>
      </c>
      <c r="R609" s="288">
        <v>0</v>
      </c>
    </row>
    <row r="610" spans="1:18" hidden="1">
      <c r="A610" s="194">
        <v>4191</v>
      </c>
      <c r="B610" s="194"/>
      <c r="C610" s="282"/>
      <c r="D610" s="282"/>
      <c r="E610" s="282"/>
      <c r="F610" s="283"/>
      <c r="G610" s="483">
        <v>7</v>
      </c>
      <c r="H610" s="282">
        <v>8</v>
      </c>
      <c r="I610" s="282">
        <v>850</v>
      </c>
      <c r="J610" s="282" t="s">
        <v>390</v>
      </c>
      <c r="K610" s="282" t="s">
        <v>457</v>
      </c>
      <c r="L610" s="283">
        <v>45536</v>
      </c>
      <c r="M610" s="284"/>
      <c r="N610" s="467" t="s">
        <v>130</v>
      </c>
      <c r="O610" s="466">
        <v>0</v>
      </c>
      <c r="P610" s="285">
        <v>45901</v>
      </c>
      <c r="Q610" s="285">
        <v>46022</v>
      </c>
      <c r="R610" s="288">
        <v>1</v>
      </c>
    </row>
    <row r="611" spans="1:18" hidden="1">
      <c r="A611" s="470">
        <v>4191</v>
      </c>
      <c r="B611" s="194"/>
      <c r="C611" s="282"/>
      <c r="D611" s="282"/>
      <c r="E611" s="282"/>
      <c r="F611" s="283"/>
      <c r="G611" s="470">
        <v>7</v>
      </c>
      <c r="H611" s="282">
        <v>8</v>
      </c>
      <c r="I611" s="282">
        <v>850</v>
      </c>
      <c r="J611" s="282" t="s">
        <v>390</v>
      </c>
      <c r="K611" s="282" t="s">
        <v>456</v>
      </c>
      <c r="L611" s="283">
        <v>45536</v>
      </c>
      <c r="M611" s="284"/>
      <c r="N611" s="195" t="s">
        <v>218</v>
      </c>
      <c r="O611" s="466">
        <v>0</v>
      </c>
      <c r="P611" s="285">
        <v>45901</v>
      </c>
      <c r="Q611" s="285">
        <v>46022</v>
      </c>
      <c r="R611" s="288">
        <v>1</v>
      </c>
    </row>
    <row r="612" spans="1:18" hidden="1">
      <c r="A612" s="470">
        <v>4191</v>
      </c>
      <c r="B612" s="194"/>
      <c r="C612" s="282"/>
      <c r="D612" s="282"/>
      <c r="E612" s="282"/>
      <c r="F612" s="283"/>
      <c r="G612" s="470">
        <v>10</v>
      </c>
      <c r="H612" s="282">
        <v>11</v>
      </c>
      <c r="I612" s="282">
        <v>850</v>
      </c>
      <c r="J612" s="282" t="s">
        <v>390</v>
      </c>
      <c r="K612" s="282" t="s">
        <v>457</v>
      </c>
      <c r="L612" s="283">
        <v>45474</v>
      </c>
      <c r="M612" s="284"/>
      <c r="N612" s="195" t="s">
        <v>130</v>
      </c>
      <c r="O612" s="466">
        <v>0</v>
      </c>
      <c r="P612" s="285">
        <v>45901</v>
      </c>
      <c r="Q612" s="285">
        <v>46022</v>
      </c>
      <c r="R612" s="288">
        <v>1</v>
      </c>
    </row>
    <row r="613" spans="1:18" hidden="1">
      <c r="A613" s="194">
        <v>4191</v>
      </c>
      <c r="B613" s="194"/>
      <c r="C613" s="193"/>
      <c r="D613" s="193"/>
      <c r="E613" s="193"/>
      <c r="F613" s="283"/>
      <c r="G613" s="194">
        <v>10</v>
      </c>
      <c r="H613" s="282">
        <v>11</v>
      </c>
      <c r="I613" s="193">
        <v>850</v>
      </c>
      <c r="J613" s="193" t="s">
        <v>390</v>
      </c>
      <c r="K613" s="193" t="s">
        <v>456</v>
      </c>
      <c r="L613" s="283">
        <v>44440</v>
      </c>
      <c r="M613" s="285"/>
      <c r="N613" s="195" t="s">
        <v>218</v>
      </c>
      <c r="O613" s="466">
        <v>0</v>
      </c>
      <c r="P613" s="285">
        <v>45901</v>
      </c>
      <c r="Q613" s="285">
        <v>46022</v>
      </c>
      <c r="R613" s="288">
        <v>1</v>
      </c>
    </row>
    <row r="614" spans="1:18" hidden="1">
      <c r="A614" s="194">
        <v>4191</v>
      </c>
      <c r="B614" s="194"/>
      <c r="C614" s="193"/>
      <c r="D614" s="193"/>
      <c r="E614" s="193"/>
      <c r="F614" s="283"/>
      <c r="G614" s="194">
        <v>10</v>
      </c>
      <c r="H614" s="282">
        <v>11</v>
      </c>
      <c r="I614" s="193">
        <v>850</v>
      </c>
      <c r="J614" s="193" t="s">
        <v>390</v>
      </c>
      <c r="K614" s="193" t="s">
        <v>457</v>
      </c>
      <c r="L614" s="283">
        <v>45901</v>
      </c>
      <c r="M614" s="285"/>
      <c r="N614" s="195" t="s">
        <v>130</v>
      </c>
      <c r="O614" s="466">
        <v>0</v>
      </c>
      <c r="P614" s="285">
        <v>45901</v>
      </c>
      <c r="Q614" s="285">
        <v>46022</v>
      </c>
      <c r="R614" s="288">
        <v>1</v>
      </c>
    </row>
    <row r="615" spans="1:18" hidden="1">
      <c r="A615" s="470">
        <v>4191</v>
      </c>
      <c r="B615" s="194"/>
      <c r="C615" s="282"/>
      <c r="D615" s="282"/>
      <c r="E615" s="282"/>
      <c r="F615" s="283"/>
      <c r="G615" s="470">
        <v>10</v>
      </c>
      <c r="H615" s="282">
        <v>11</v>
      </c>
      <c r="I615" s="282">
        <v>850</v>
      </c>
      <c r="J615" s="282" t="s">
        <v>390</v>
      </c>
      <c r="K615" s="282" t="s">
        <v>457</v>
      </c>
      <c r="L615" s="283">
        <v>44440</v>
      </c>
      <c r="M615" s="281"/>
      <c r="N615" s="195" t="s">
        <v>130</v>
      </c>
      <c r="O615" s="466">
        <v>0</v>
      </c>
      <c r="P615" s="285">
        <v>45901</v>
      </c>
      <c r="Q615" s="285">
        <v>46022</v>
      </c>
      <c r="R615" s="288">
        <v>1</v>
      </c>
    </row>
    <row r="616" spans="1:18" hidden="1">
      <c r="A616" s="194">
        <v>4191</v>
      </c>
      <c r="B616" s="194"/>
      <c r="C616" s="193"/>
      <c r="D616" s="193"/>
      <c r="E616" s="193"/>
      <c r="F616" s="283"/>
      <c r="G616" s="193">
        <v>11</v>
      </c>
      <c r="H616" s="282">
        <v>12</v>
      </c>
      <c r="I616" s="193">
        <v>850</v>
      </c>
      <c r="J616" s="193" t="s">
        <v>390</v>
      </c>
      <c r="K616" s="193" t="s">
        <v>456</v>
      </c>
      <c r="L616" s="283">
        <v>44102</v>
      </c>
      <c r="M616" s="285">
        <v>45900</v>
      </c>
      <c r="N616" s="195" t="s">
        <v>218</v>
      </c>
      <c r="O616" s="466">
        <v>0</v>
      </c>
      <c r="P616" s="285" t="s">
        <v>399</v>
      </c>
      <c r="Q616" s="285" t="s">
        <v>399</v>
      </c>
      <c r="R616" s="288">
        <v>0</v>
      </c>
    </row>
    <row r="617" spans="1:18" hidden="1">
      <c r="A617" s="470">
        <v>4191</v>
      </c>
      <c r="B617" s="194"/>
      <c r="C617" s="282"/>
      <c r="D617" s="282"/>
      <c r="E617" s="282"/>
      <c r="F617" s="283"/>
      <c r="G617" s="282">
        <v>7</v>
      </c>
      <c r="H617" s="282">
        <v>8</v>
      </c>
      <c r="I617" s="282">
        <v>850</v>
      </c>
      <c r="J617" s="282" t="s">
        <v>390</v>
      </c>
      <c r="K617" s="282" t="s">
        <v>457</v>
      </c>
      <c r="L617" s="283">
        <v>45536</v>
      </c>
      <c r="M617" s="281"/>
      <c r="N617" s="287" t="s">
        <v>130</v>
      </c>
      <c r="O617" s="466">
        <v>0</v>
      </c>
      <c r="P617" s="285">
        <v>45901</v>
      </c>
      <c r="Q617" s="285">
        <v>46022</v>
      </c>
      <c r="R617" s="288">
        <v>1</v>
      </c>
    </row>
    <row r="618" spans="1:18" hidden="1">
      <c r="A618" s="470">
        <v>4191</v>
      </c>
      <c r="B618" s="194"/>
      <c r="C618" s="193"/>
      <c r="D618" s="193"/>
      <c r="E618" s="193"/>
      <c r="F618" s="281"/>
      <c r="G618" s="194">
        <v>11</v>
      </c>
      <c r="H618" s="282">
        <v>12</v>
      </c>
      <c r="I618" s="282">
        <v>850</v>
      </c>
      <c r="J618" s="282" t="s">
        <v>390</v>
      </c>
      <c r="K618" s="282" t="s">
        <v>457</v>
      </c>
      <c r="L618" s="281">
        <v>45536</v>
      </c>
      <c r="M618" s="285">
        <v>45900</v>
      </c>
      <c r="N618" s="195" t="s">
        <v>130</v>
      </c>
      <c r="O618" s="466">
        <v>0</v>
      </c>
      <c r="P618" s="285" t="s">
        <v>399</v>
      </c>
      <c r="Q618" s="285" t="s">
        <v>399</v>
      </c>
      <c r="R618" s="288">
        <v>0</v>
      </c>
    </row>
    <row r="619" spans="1:18" hidden="1">
      <c r="A619" s="470">
        <v>4191</v>
      </c>
      <c r="B619" s="194"/>
      <c r="C619" s="193"/>
      <c r="D619" s="193"/>
      <c r="E619" s="193"/>
      <c r="F619" s="281"/>
      <c r="G619" s="194">
        <v>8</v>
      </c>
      <c r="H619" s="282">
        <v>9</v>
      </c>
      <c r="I619" s="282">
        <v>850</v>
      </c>
      <c r="J619" s="282" t="s">
        <v>390</v>
      </c>
      <c r="K619" s="282" t="s">
        <v>457</v>
      </c>
      <c r="L619" s="281">
        <v>45170</v>
      </c>
      <c r="M619" s="285"/>
      <c r="N619" s="195" t="s">
        <v>130</v>
      </c>
      <c r="O619" s="466">
        <v>0</v>
      </c>
      <c r="P619" s="285">
        <v>45901</v>
      </c>
      <c r="Q619" s="285">
        <v>46022</v>
      </c>
      <c r="R619" s="288">
        <v>1</v>
      </c>
    </row>
    <row r="620" spans="1:18" hidden="1">
      <c r="A620" s="470">
        <v>4203</v>
      </c>
      <c r="B620" s="194"/>
      <c r="C620" s="193"/>
      <c r="D620" s="193"/>
      <c r="E620" s="193"/>
      <c r="F620" s="281"/>
      <c r="G620" s="194">
        <v>7</v>
      </c>
      <c r="H620" s="282">
        <v>8</v>
      </c>
      <c r="I620" s="282">
        <v>850</v>
      </c>
      <c r="J620" s="282" t="s">
        <v>390</v>
      </c>
      <c r="K620" s="282" t="s">
        <v>458</v>
      </c>
      <c r="L620" s="281">
        <v>45536</v>
      </c>
      <c r="M620" s="281"/>
      <c r="N620" s="195" t="s">
        <v>215</v>
      </c>
      <c r="O620" s="466" t="s">
        <v>215</v>
      </c>
      <c r="P620" s="285">
        <v>45901</v>
      </c>
      <c r="Q620" s="285">
        <v>46022</v>
      </c>
      <c r="R620" s="288">
        <v>1</v>
      </c>
    </row>
    <row r="621" spans="1:18" hidden="1">
      <c r="A621" s="470">
        <v>4203</v>
      </c>
      <c r="B621" s="194"/>
      <c r="C621" s="479"/>
      <c r="D621" s="479"/>
      <c r="E621" s="479"/>
      <c r="F621" s="480"/>
      <c r="G621" s="483">
        <v>9</v>
      </c>
      <c r="H621" s="282">
        <v>10</v>
      </c>
      <c r="I621" s="282">
        <v>850</v>
      </c>
      <c r="J621" s="282" t="s">
        <v>390</v>
      </c>
      <c r="K621" s="282" t="s">
        <v>458</v>
      </c>
      <c r="L621" s="283">
        <v>44805</v>
      </c>
      <c r="M621" s="281"/>
      <c r="N621" s="287" t="s">
        <v>215</v>
      </c>
      <c r="O621" s="466">
        <v>0</v>
      </c>
      <c r="P621" s="285">
        <v>45901</v>
      </c>
      <c r="Q621" s="285">
        <v>46022</v>
      </c>
      <c r="R621" s="288">
        <v>1</v>
      </c>
    </row>
    <row r="622" spans="1:18" hidden="1">
      <c r="A622" s="470">
        <v>4206</v>
      </c>
      <c r="B622" s="194"/>
      <c r="C622" s="479"/>
      <c r="D622" s="479"/>
      <c r="E622" s="479"/>
      <c r="F622" s="480"/>
      <c r="G622" s="483">
        <v>10</v>
      </c>
      <c r="H622" s="282">
        <v>11</v>
      </c>
      <c r="I622" s="282">
        <v>850</v>
      </c>
      <c r="J622" s="282" t="s">
        <v>390</v>
      </c>
      <c r="K622" s="282" t="s">
        <v>459</v>
      </c>
      <c r="L622" s="283">
        <v>44440</v>
      </c>
      <c r="M622" s="281"/>
      <c r="N622" s="287" t="s">
        <v>218</v>
      </c>
      <c r="O622" s="466">
        <v>0</v>
      </c>
      <c r="P622" s="285">
        <v>45901</v>
      </c>
      <c r="Q622" s="285">
        <v>46022</v>
      </c>
      <c r="R622" s="288">
        <v>1</v>
      </c>
    </row>
    <row r="623" spans="1:18" hidden="1">
      <c r="A623" s="470">
        <v>4206</v>
      </c>
      <c r="B623" s="194"/>
      <c r="C623" s="479"/>
      <c r="D623" s="282"/>
      <c r="E623" s="282"/>
      <c r="F623" s="283"/>
      <c r="G623" s="470">
        <v>10</v>
      </c>
      <c r="H623" s="282">
        <v>11</v>
      </c>
      <c r="I623" s="282">
        <v>850</v>
      </c>
      <c r="J623" s="282" t="s">
        <v>390</v>
      </c>
      <c r="K623" s="282" t="s">
        <v>459</v>
      </c>
      <c r="L623" s="283">
        <v>44440</v>
      </c>
      <c r="M623" s="285"/>
      <c r="N623" s="287" t="s">
        <v>218</v>
      </c>
      <c r="O623" s="466">
        <v>0</v>
      </c>
      <c r="P623" s="285">
        <v>45901</v>
      </c>
      <c r="Q623" s="285">
        <v>46022</v>
      </c>
      <c r="R623" s="288">
        <v>1</v>
      </c>
    </row>
    <row r="624" spans="1:18" hidden="1">
      <c r="A624" s="470">
        <v>4206</v>
      </c>
      <c r="B624" s="194"/>
      <c r="C624" s="282"/>
      <c r="D624" s="282"/>
      <c r="E624" s="282"/>
      <c r="F624" s="283"/>
      <c r="G624" s="282">
        <v>10</v>
      </c>
      <c r="H624" s="282">
        <v>11</v>
      </c>
      <c r="I624" s="282">
        <v>850</v>
      </c>
      <c r="J624" s="282" t="s">
        <v>390</v>
      </c>
      <c r="K624" s="282" t="s">
        <v>459</v>
      </c>
      <c r="L624" s="283">
        <v>44440</v>
      </c>
      <c r="M624" s="285"/>
      <c r="N624" s="287" t="s">
        <v>218</v>
      </c>
      <c r="O624" s="466">
        <v>0</v>
      </c>
      <c r="P624" s="285">
        <v>45901</v>
      </c>
      <c r="Q624" s="285">
        <v>46022</v>
      </c>
      <c r="R624" s="288">
        <v>1</v>
      </c>
    </row>
    <row r="625" spans="1:18" hidden="1">
      <c r="A625" s="470">
        <v>4206</v>
      </c>
      <c r="B625" s="194"/>
      <c r="C625" s="282"/>
      <c r="D625" s="282"/>
      <c r="E625" s="282"/>
      <c r="F625" s="283"/>
      <c r="G625" s="470">
        <v>11</v>
      </c>
      <c r="H625" s="282">
        <v>12</v>
      </c>
      <c r="I625" s="282">
        <v>850</v>
      </c>
      <c r="J625" s="282" t="s">
        <v>390</v>
      </c>
      <c r="K625" s="282" t="s">
        <v>459</v>
      </c>
      <c r="L625" s="283">
        <v>44075</v>
      </c>
      <c r="M625" s="281">
        <v>45900</v>
      </c>
      <c r="N625" s="287" t="s">
        <v>218</v>
      </c>
      <c r="O625" s="466">
        <v>0</v>
      </c>
      <c r="P625" s="285" t="s">
        <v>399</v>
      </c>
      <c r="Q625" s="285" t="s">
        <v>399</v>
      </c>
      <c r="R625" s="288">
        <v>0</v>
      </c>
    </row>
    <row r="626" spans="1:18" hidden="1">
      <c r="A626" s="470">
        <v>4206</v>
      </c>
      <c r="B626" s="194"/>
      <c r="C626" s="282"/>
      <c r="D626" s="282"/>
      <c r="E626" s="282"/>
      <c r="F626" s="283"/>
      <c r="G626" s="470">
        <v>8</v>
      </c>
      <c r="H626" s="282">
        <v>9</v>
      </c>
      <c r="I626" s="282">
        <v>850</v>
      </c>
      <c r="J626" s="282" t="s">
        <v>390</v>
      </c>
      <c r="K626" s="282" t="s">
        <v>459</v>
      </c>
      <c r="L626" s="283">
        <v>45536</v>
      </c>
      <c r="M626" s="471"/>
      <c r="N626" s="287" t="s">
        <v>218</v>
      </c>
      <c r="O626" s="466">
        <v>0</v>
      </c>
      <c r="P626" s="285">
        <v>45901</v>
      </c>
      <c r="Q626" s="285">
        <v>46022</v>
      </c>
      <c r="R626" s="288">
        <v>1</v>
      </c>
    </row>
    <row r="627" spans="1:18" hidden="1">
      <c r="A627" s="194">
        <v>4206</v>
      </c>
      <c r="B627" s="194"/>
      <c r="C627" s="193"/>
      <c r="D627" s="193"/>
      <c r="E627" s="193"/>
      <c r="F627" s="283"/>
      <c r="G627" s="194">
        <v>11</v>
      </c>
      <c r="H627" s="282">
        <v>12</v>
      </c>
      <c r="I627" s="193">
        <v>850</v>
      </c>
      <c r="J627" s="193" t="s">
        <v>390</v>
      </c>
      <c r="K627" s="193" t="s">
        <v>459</v>
      </c>
      <c r="L627" s="283">
        <v>44075</v>
      </c>
      <c r="M627" s="285">
        <v>45900</v>
      </c>
      <c r="N627" s="195" t="s">
        <v>218</v>
      </c>
      <c r="O627" s="466">
        <v>0</v>
      </c>
      <c r="P627" s="285" t="s">
        <v>399</v>
      </c>
      <c r="Q627" s="285" t="s">
        <v>399</v>
      </c>
      <c r="R627" s="288">
        <v>0</v>
      </c>
    </row>
    <row r="628" spans="1:18" hidden="1">
      <c r="A628" s="470">
        <v>4206</v>
      </c>
      <c r="B628" s="194"/>
      <c r="C628" s="479"/>
      <c r="D628" s="282"/>
      <c r="E628" s="282"/>
      <c r="F628" s="283"/>
      <c r="G628" s="470">
        <v>8</v>
      </c>
      <c r="H628" s="282">
        <v>9</v>
      </c>
      <c r="I628" s="282">
        <v>850</v>
      </c>
      <c r="J628" s="282" t="s">
        <v>390</v>
      </c>
      <c r="K628" s="193" t="s">
        <v>459</v>
      </c>
      <c r="L628" s="283">
        <v>45170</v>
      </c>
      <c r="M628" s="284"/>
      <c r="N628" s="287" t="s">
        <v>218</v>
      </c>
      <c r="O628" s="466">
        <v>0</v>
      </c>
      <c r="P628" s="285">
        <v>45901</v>
      </c>
      <c r="Q628" s="285">
        <v>46022</v>
      </c>
      <c r="R628" s="288">
        <v>1</v>
      </c>
    </row>
    <row r="629" spans="1:18" hidden="1">
      <c r="A629" s="470">
        <v>4206</v>
      </c>
      <c r="B629" s="194"/>
      <c r="C629" s="282"/>
      <c r="D629" s="282"/>
      <c r="E629" s="282"/>
      <c r="F629" s="283"/>
      <c r="G629" s="194">
        <v>9</v>
      </c>
      <c r="H629" s="282">
        <v>10</v>
      </c>
      <c r="I629" s="282">
        <v>850</v>
      </c>
      <c r="J629" s="282" t="s">
        <v>390</v>
      </c>
      <c r="K629" s="193" t="s">
        <v>459</v>
      </c>
      <c r="L629" s="283">
        <v>44805</v>
      </c>
      <c r="M629" s="471"/>
      <c r="N629" s="467" t="s">
        <v>218</v>
      </c>
      <c r="O629" s="466">
        <v>0</v>
      </c>
      <c r="P629" s="285">
        <v>45901</v>
      </c>
      <c r="Q629" s="285">
        <v>46022</v>
      </c>
      <c r="R629" s="288">
        <v>1</v>
      </c>
    </row>
    <row r="630" spans="1:18" hidden="1">
      <c r="A630" s="470">
        <v>4206</v>
      </c>
      <c r="B630" s="194"/>
      <c r="C630" s="282"/>
      <c r="D630" s="282"/>
      <c r="E630" s="282"/>
      <c r="F630" s="283"/>
      <c r="G630" s="194">
        <v>10</v>
      </c>
      <c r="H630" s="282">
        <v>11</v>
      </c>
      <c r="I630" s="282">
        <v>850</v>
      </c>
      <c r="J630" s="282" t="s">
        <v>390</v>
      </c>
      <c r="K630" s="193" t="s">
        <v>459</v>
      </c>
      <c r="L630" s="283">
        <v>44440</v>
      </c>
      <c r="M630" s="471"/>
      <c r="N630" s="467" t="s">
        <v>218</v>
      </c>
      <c r="O630" s="466">
        <v>0</v>
      </c>
      <c r="P630" s="285">
        <v>45901</v>
      </c>
      <c r="Q630" s="285">
        <v>46022</v>
      </c>
      <c r="R630" s="288">
        <v>1</v>
      </c>
    </row>
    <row r="631" spans="1:18" hidden="1">
      <c r="A631" s="470">
        <v>4206</v>
      </c>
      <c r="B631" s="194"/>
      <c r="C631" s="282"/>
      <c r="D631" s="282"/>
      <c r="E631" s="282"/>
      <c r="F631" s="283"/>
      <c r="G631" s="194">
        <v>11</v>
      </c>
      <c r="H631" s="282">
        <v>12</v>
      </c>
      <c r="I631" s="282">
        <v>850</v>
      </c>
      <c r="J631" s="282" t="s">
        <v>390</v>
      </c>
      <c r="K631" s="282" t="s">
        <v>459</v>
      </c>
      <c r="L631" s="283">
        <v>44075</v>
      </c>
      <c r="M631" s="281">
        <v>45900</v>
      </c>
      <c r="N631" s="467" t="s">
        <v>218</v>
      </c>
      <c r="O631" s="466">
        <v>0</v>
      </c>
      <c r="P631" s="285" t="s">
        <v>399</v>
      </c>
      <c r="Q631" s="285" t="s">
        <v>399</v>
      </c>
      <c r="R631" s="288">
        <v>0</v>
      </c>
    </row>
    <row r="632" spans="1:18" hidden="1">
      <c r="A632" s="470">
        <v>4206</v>
      </c>
      <c r="B632" s="194"/>
      <c r="C632" s="282"/>
      <c r="D632" s="282"/>
      <c r="E632" s="282"/>
      <c r="F632" s="283"/>
      <c r="G632" s="470">
        <v>9</v>
      </c>
      <c r="H632" s="282">
        <v>10</v>
      </c>
      <c r="I632" s="282">
        <v>850</v>
      </c>
      <c r="J632" s="282" t="s">
        <v>390</v>
      </c>
      <c r="K632" s="282" t="s">
        <v>459</v>
      </c>
      <c r="L632" s="283">
        <v>44805</v>
      </c>
      <c r="M632" s="281"/>
      <c r="N632" s="467" t="s">
        <v>218</v>
      </c>
      <c r="O632" s="466">
        <v>0</v>
      </c>
      <c r="P632" s="285">
        <v>45901</v>
      </c>
      <c r="Q632" s="285">
        <v>46022</v>
      </c>
      <c r="R632" s="288">
        <v>1</v>
      </c>
    </row>
    <row r="633" spans="1:18" hidden="1">
      <c r="A633" s="470">
        <v>4206</v>
      </c>
      <c r="B633" s="194"/>
      <c r="C633" s="282"/>
      <c r="D633" s="282"/>
      <c r="E633" s="282"/>
      <c r="F633" s="283"/>
      <c r="G633" s="470">
        <v>11</v>
      </c>
      <c r="H633" s="282">
        <v>12</v>
      </c>
      <c r="I633" s="282">
        <v>850</v>
      </c>
      <c r="J633" s="282" t="s">
        <v>390</v>
      </c>
      <c r="K633" s="193" t="s">
        <v>459</v>
      </c>
      <c r="L633" s="283">
        <v>44075</v>
      </c>
      <c r="M633" s="281">
        <v>45900</v>
      </c>
      <c r="N633" s="287" t="s">
        <v>218</v>
      </c>
      <c r="O633" s="466">
        <v>0</v>
      </c>
      <c r="P633" s="285" t="s">
        <v>399</v>
      </c>
      <c r="Q633" s="285" t="s">
        <v>399</v>
      </c>
      <c r="R633" s="288">
        <v>0</v>
      </c>
    </row>
    <row r="634" spans="1:18" hidden="1">
      <c r="A634" s="470">
        <v>4206</v>
      </c>
      <c r="B634" s="194"/>
      <c r="C634" s="282"/>
      <c r="D634" s="282"/>
      <c r="E634" s="282"/>
      <c r="F634" s="283"/>
      <c r="G634" s="470">
        <v>8</v>
      </c>
      <c r="H634" s="282">
        <v>9</v>
      </c>
      <c r="I634" s="282">
        <v>850</v>
      </c>
      <c r="J634" s="282" t="s">
        <v>390</v>
      </c>
      <c r="K634" s="193" t="s">
        <v>459</v>
      </c>
      <c r="L634" s="283">
        <v>45170</v>
      </c>
      <c r="M634" s="281"/>
      <c r="N634" s="287" t="s">
        <v>218</v>
      </c>
      <c r="O634" s="466">
        <v>0</v>
      </c>
      <c r="P634" s="285">
        <v>45901</v>
      </c>
      <c r="Q634" s="285">
        <v>46022</v>
      </c>
      <c r="R634" s="288">
        <v>1</v>
      </c>
    </row>
    <row r="635" spans="1:18" hidden="1">
      <c r="A635" s="470">
        <v>4206</v>
      </c>
      <c r="B635" s="194"/>
      <c r="C635" s="282"/>
      <c r="D635" s="282"/>
      <c r="E635" s="282"/>
      <c r="F635" s="283"/>
      <c r="G635" s="470">
        <v>10</v>
      </c>
      <c r="H635" s="282">
        <v>11</v>
      </c>
      <c r="I635" s="282">
        <v>850</v>
      </c>
      <c r="J635" s="282" t="s">
        <v>390</v>
      </c>
      <c r="K635" s="193" t="s">
        <v>459</v>
      </c>
      <c r="L635" s="283">
        <v>44440</v>
      </c>
      <c r="M635" s="281"/>
      <c r="N635" s="287" t="s">
        <v>218</v>
      </c>
      <c r="O635" s="466">
        <v>0</v>
      </c>
      <c r="P635" s="285">
        <v>45901</v>
      </c>
      <c r="Q635" s="285">
        <v>46022</v>
      </c>
      <c r="R635" s="288">
        <v>1</v>
      </c>
    </row>
    <row r="636" spans="1:18" hidden="1">
      <c r="A636" s="470">
        <v>4206</v>
      </c>
      <c r="B636" s="194"/>
      <c r="C636" s="282"/>
      <c r="D636" s="282"/>
      <c r="E636" s="282"/>
      <c r="F636" s="283"/>
      <c r="G636" s="282">
        <v>11</v>
      </c>
      <c r="H636" s="282">
        <v>12</v>
      </c>
      <c r="I636" s="282">
        <v>850</v>
      </c>
      <c r="J636" s="282" t="s">
        <v>390</v>
      </c>
      <c r="K636" s="282" t="s">
        <v>459</v>
      </c>
      <c r="L636" s="283">
        <v>44075</v>
      </c>
      <c r="M636" s="471">
        <v>45900</v>
      </c>
      <c r="N636" s="467" t="s">
        <v>218</v>
      </c>
      <c r="O636" s="466">
        <v>0</v>
      </c>
      <c r="P636" s="285" t="s">
        <v>399</v>
      </c>
      <c r="Q636" s="285" t="s">
        <v>399</v>
      </c>
      <c r="R636" s="288">
        <v>0</v>
      </c>
    </row>
    <row r="637" spans="1:18" hidden="1">
      <c r="A637" s="470">
        <v>4206</v>
      </c>
      <c r="B637" s="194"/>
      <c r="C637" s="282"/>
      <c r="D637" s="282"/>
      <c r="E637" s="282"/>
      <c r="F637" s="283"/>
      <c r="G637" s="282">
        <v>8</v>
      </c>
      <c r="H637" s="282">
        <v>9</v>
      </c>
      <c r="I637" s="282">
        <v>850</v>
      </c>
      <c r="J637" s="282" t="s">
        <v>390</v>
      </c>
      <c r="K637" s="282" t="s">
        <v>459</v>
      </c>
      <c r="L637" s="283">
        <v>45536</v>
      </c>
      <c r="M637" s="471"/>
      <c r="N637" s="467" t="s">
        <v>218</v>
      </c>
      <c r="O637" s="466">
        <v>0</v>
      </c>
      <c r="P637" s="285">
        <v>45901</v>
      </c>
      <c r="Q637" s="285">
        <v>46022</v>
      </c>
      <c r="R637" s="288">
        <v>1</v>
      </c>
    </row>
    <row r="638" spans="1:18" hidden="1">
      <c r="A638" s="470">
        <v>4206</v>
      </c>
      <c r="B638" s="194"/>
      <c r="C638" s="282"/>
      <c r="D638" s="282"/>
      <c r="E638" s="282"/>
      <c r="F638" s="283"/>
      <c r="G638" s="282">
        <v>11</v>
      </c>
      <c r="H638" s="282">
        <v>12</v>
      </c>
      <c r="I638" s="282">
        <v>850</v>
      </c>
      <c r="J638" s="282" t="s">
        <v>390</v>
      </c>
      <c r="K638" s="282" t="s">
        <v>459</v>
      </c>
      <c r="L638" s="283">
        <v>44075</v>
      </c>
      <c r="M638" s="471">
        <v>45769</v>
      </c>
      <c r="N638" s="467" t="s">
        <v>218</v>
      </c>
      <c r="O638" s="466">
        <v>0</v>
      </c>
      <c r="P638" s="285" t="s">
        <v>399</v>
      </c>
      <c r="Q638" s="285" t="s">
        <v>399</v>
      </c>
      <c r="R638" s="288">
        <v>0</v>
      </c>
    </row>
    <row r="639" spans="1:18" hidden="1">
      <c r="A639" s="470">
        <v>4206</v>
      </c>
      <c r="B639" s="194"/>
      <c r="C639" s="282"/>
      <c r="D639" s="282"/>
      <c r="E639" s="194"/>
      <c r="F639" s="284"/>
      <c r="G639" s="282">
        <v>11</v>
      </c>
      <c r="H639" s="282">
        <v>12</v>
      </c>
      <c r="I639" s="282">
        <v>850</v>
      </c>
      <c r="J639" s="282" t="s">
        <v>390</v>
      </c>
      <c r="K639" s="282" t="s">
        <v>459</v>
      </c>
      <c r="L639" s="283">
        <v>44440</v>
      </c>
      <c r="M639" s="281">
        <v>45900</v>
      </c>
      <c r="N639" s="467" t="s">
        <v>218</v>
      </c>
      <c r="O639" s="466">
        <v>0</v>
      </c>
      <c r="P639" s="285" t="s">
        <v>399</v>
      </c>
      <c r="Q639" s="285" t="s">
        <v>399</v>
      </c>
      <c r="R639" s="288">
        <v>0</v>
      </c>
    </row>
    <row r="640" spans="1:18" hidden="1">
      <c r="A640" s="470">
        <v>4206</v>
      </c>
      <c r="B640" s="194"/>
      <c r="C640" s="282"/>
      <c r="D640" s="282"/>
      <c r="E640" s="282"/>
      <c r="F640" s="283"/>
      <c r="G640" s="282">
        <v>10</v>
      </c>
      <c r="H640" s="282">
        <v>11</v>
      </c>
      <c r="I640" s="282">
        <v>850</v>
      </c>
      <c r="J640" s="282" t="s">
        <v>390</v>
      </c>
      <c r="K640" s="282" t="s">
        <v>459</v>
      </c>
      <c r="L640" s="283">
        <v>44440</v>
      </c>
      <c r="M640" s="281"/>
      <c r="N640" s="467" t="s">
        <v>218</v>
      </c>
      <c r="O640" s="466">
        <v>0</v>
      </c>
      <c r="P640" s="285">
        <v>45901</v>
      </c>
      <c r="Q640" s="285">
        <v>46022</v>
      </c>
      <c r="R640" s="288">
        <v>1</v>
      </c>
    </row>
    <row r="641" spans="1:18" hidden="1">
      <c r="A641" s="470">
        <v>4206</v>
      </c>
      <c r="B641" s="194"/>
      <c r="C641" s="282"/>
      <c r="D641" s="282"/>
      <c r="E641" s="282"/>
      <c r="F641" s="283"/>
      <c r="G641" s="282">
        <v>8</v>
      </c>
      <c r="H641" s="282">
        <v>9</v>
      </c>
      <c r="I641" s="282">
        <v>850</v>
      </c>
      <c r="J641" s="282" t="s">
        <v>390</v>
      </c>
      <c r="K641" s="193" t="s">
        <v>459</v>
      </c>
      <c r="L641" s="283">
        <v>45170</v>
      </c>
      <c r="M641" s="281"/>
      <c r="N641" s="287" t="s">
        <v>218</v>
      </c>
      <c r="O641" s="466">
        <v>0</v>
      </c>
      <c r="P641" s="285">
        <v>45901</v>
      </c>
      <c r="Q641" s="285">
        <v>46022</v>
      </c>
      <c r="R641" s="288">
        <v>1</v>
      </c>
    </row>
    <row r="642" spans="1:18" hidden="1">
      <c r="A642" s="470">
        <v>4308</v>
      </c>
      <c r="B642" s="194"/>
      <c r="C642" s="282"/>
      <c r="D642" s="282"/>
      <c r="E642" s="282"/>
      <c r="F642" s="283"/>
      <c r="G642" s="282">
        <v>11</v>
      </c>
      <c r="H642" s="282">
        <v>12</v>
      </c>
      <c r="I642" s="282">
        <v>850</v>
      </c>
      <c r="J642" s="282" t="s">
        <v>390</v>
      </c>
      <c r="K642" s="282" t="s">
        <v>460</v>
      </c>
      <c r="L642" s="283">
        <v>45082</v>
      </c>
      <c r="M642" s="281">
        <v>45900</v>
      </c>
      <c r="N642" s="467" t="s">
        <v>215</v>
      </c>
      <c r="O642" s="466">
        <v>0</v>
      </c>
      <c r="P642" s="285" t="s">
        <v>399</v>
      </c>
      <c r="Q642" s="285" t="s">
        <v>399</v>
      </c>
      <c r="R642" s="288">
        <v>0</v>
      </c>
    </row>
    <row r="643" spans="1:18" hidden="1">
      <c r="A643" s="194">
        <v>4308</v>
      </c>
      <c r="B643" s="194"/>
      <c r="C643" s="193"/>
      <c r="D643" s="193"/>
      <c r="E643" s="193"/>
      <c r="F643" s="283"/>
      <c r="G643" s="193">
        <v>7</v>
      </c>
      <c r="H643" s="282">
        <v>8</v>
      </c>
      <c r="I643" s="193">
        <v>850</v>
      </c>
      <c r="J643" s="193" t="s">
        <v>390</v>
      </c>
      <c r="K643" s="193" t="s">
        <v>460</v>
      </c>
      <c r="L643" s="283">
        <v>45536</v>
      </c>
      <c r="M643" s="285"/>
      <c r="N643" s="195" t="s">
        <v>215</v>
      </c>
      <c r="O643" s="466">
        <v>0</v>
      </c>
      <c r="P643" s="285">
        <v>45901</v>
      </c>
      <c r="Q643" s="285">
        <v>46022</v>
      </c>
      <c r="R643" s="288">
        <v>1</v>
      </c>
    </row>
    <row r="644" spans="1:18" hidden="1">
      <c r="A644" s="194">
        <v>4308</v>
      </c>
      <c r="B644" s="194"/>
      <c r="C644" s="193"/>
      <c r="D644" s="193"/>
      <c r="E644" s="193"/>
      <c r="F644" s="283"/>
      <c r="G644" s="193">
        <v>7</v>
      </c>
      <c r="H644" s="282">
        <v>8</v>
      </c>
      <c r="I644" s="193">
        <v>850</v>
      </c>
      <c r="J644" s="193" t="s">
        <v>390</v>
      </c>
      <c r="K644" s="282" t="s">
        <v>460</v>
      </c>
      <c r="L644" s="283">
        <v>45536</v>
      </c>
      <c r="M644" s="285"/>
      <c r="N644" s="195" t="s">
        <v>215</v>
      </c>
      <c r="O644" s="466">
        <v>0</v>
      </c>
      <c r="P644" s="285">
        <v>45901</v>
      </c>
      <c r="Q644" s="285">
        <v>46022</v>
      </c>
      <c r="R644" s="288">
        <v>1</v>
      </c>
    </row>
    <row r="645" spans="1:18" hidden="1">
      <c r="A645" s="470">
        <v>4310</v>
      </c>
      <c r="B645" s="194"/>
      <c r="C645" s="483"/>
      <c r="D645" s="483"/>
      <c r="E645" s="483"/>
      <c r="F645" s="480"/>
      <c r="G645" s="483">
        <v>9</v>
      </c>
      <c r="H645" s="282">
        <v>10</v>
      </c>
      <c r="I645" s="470">
        <v>850</v>
      </c>
      <c r="J645" s="470" t="s">
        <v>390</v>
      </c>
      <c r="K645" s="470" t="s">
        <v>461</v>
      </c>
      <c r="L645" s="283">
        <v>45613</v>
      </c>
      <c r="M645" s="471"/>
      <c r="N645" s="472" t="s">
        <v>220</v>
      </c>
      <c r="O645" s="466">
        <v>0</v>
      </c>
      <c r="P645" s="285">
        <v>45901</v>
      </c>
      <c r="Q645" s="285">
        <v>46022</v>
      </c>
      <c r="R645" s="288">
        <v>1</v>
      </c>
    </row>
    <row r="646" spans="1:18" hidden="1">
      <c r="A646" s="470">
        <v>4310</v>
      </c>
      <c r="B646" s="194"/>
      <c r="C646" s="470"/>
      <c r="D646" s="470"/>
      <c r="E646" s="470"/>
      <c r="F646" s="283"/>
      <c r="G646" s="470">
        <v>10</v>
      </c>
      <c r="H646" s="282">
        <v>11</v>
      </c>
      <c r="I646" s="470">
        <v>850</v>
      </c>
      <c r="J646" s="470" t="s">
        <v>390</v>
      </c>
      <c r="K646" s="470" t="s">
        <v>461</v>
      </c>
      <c r="L646" s="283">
        <v>44440</v>
      </c>
      <c r="M646" s="471"/>
      <c r="N646" s="472" t="s">
        <v>220</v>
      </c>
      <c r="O646" s="466">
        <v>0</v>
      </c>
      <c r="P646" s="285">
        <v>45901</v>
      </c>
      <c r="Q646" s="285">
        <v>46022</v>
      </c>
      <c r="R646" s="288">
        <v>1</v>
      </c>
    </row>
    <row r="647" spans="1:18" hidden="1">
      <c r="A647" s="470">
        <v>4310</v>
      </c>
      <c r="B647" s="194"/>
      <c r="C647" s="470"/>
      <c r="D647" s="470"/>
      <c r="E647" s="470"/>
      <c r="F647" s="283"/>
      <c r="G647" s="470">
        <v>9</v>
      </c>
      <c r="H647" s="282">
        <v>10</v>
      </c>
      <c r="I647" s="470">
        <v>850</v>
      </c>
      <c r="J647" s="470" t="s">
        <v>390</v>
      </c>
      <c r="K647" s="470" t="s">
        <v>461</v>
      </c>
      <c r="L647" s="283">
        <v>44805</v>
      </c>
      <c r="M647" s="471"/>
      <c r="N647" s="194" t="s">
        <v>220</v>
      </c>
      <c r="O647" s="466">
        <v>0</v>
      </c>
      <c r="P647" s="285">
        <v>45901</v>
      </c>
      <c r="Q647" s="285">
        <v>46022</v>
      </c>
      <c r="R647" s="288">
        <v>1</v>
      </c>
    </row>
    <row r="648" spans="1:18" hidden="1">
      <c r="A648" s="470">
        <v>4310</v>
      </c>
      <c r="B648" s="194"/>
      <c r="C648" s="470"/>
      <c r="D648" s="470"/>
      <c r="E648" s="470"/>
      <c r="F648" s="283"/>
      <c r="G648" s="470">
        <v>9</v>
      </c>
      <c r="H648" s="282">
        <v>10</v>
      </c>
      <c r="I648" s="470">
        <v>850</v>
      </c>
      <c r="J648" s="470" t="s">
        <v>390</v>
      </c>
      <c r="K648" s="470" t="s">
        <v>461</v>
      </c>
      <c r="L648" s="283">
        <v>44805</v>
      </c>
      <c r="M648" s="281"/>
      <c r="N648" s="194" t="s">
        <v>220</v>
      </c>
      <c r="O648" s="466">
        <v>0</v>
      </c>
      <c r="P648" s="285">
        <v>45901</v>
      </c>
      <c r="Q648" s="285">
        <v>46022</v>
      </c>
      <c r="R648" s="288">
        <v>1</v>
      </c>
    </row>
    <row r="649" spans="1:18" hidden="1">
      <c r="A649" s="470">
        <v>4511</v>
      </c>
      <c r="B649" s="194"/>
      <c r="C649" s="470"/>
      <c r="D649" s="470"/>
      <c r="E649" s="470"/>
      <c r="F649" s="283"/>
      <c r="G649" s="470">
        <v>7</v>
      </c>
      <c r="H649" s="282">
        <v>8</v>
      </c>
      <c r="I649" s="470">
        <v>850</v>
      </c>
      <c r="J649" s="470" t="s">
        <v>390</v>
      </c>
      <c r="K649" s="470" t="s">
        <v>462</v>
      </c>
      <c r="L649" s="283">
        <v>45536</v>
      </c>
      <c r="M649" s="281"/>
      <c r="N649" s="194" t="s">
        <v>141</v>
      </c>
      <c r="O649" s="466">
        <v>0</v>
      </c>
      <c r="P649" s="285">
        <v>45901</v>
      </c>
      <c r="Q649" s="285">
        <v>46022</v>
      </c>
      <c r="R649" s="288">
        <v>1</v>
      </c>
    </row>
    <row r="650" spans="1:18" hidden="1">
      <c r="A650" s="470">
        <v>4511</v>
      </c>
      <c r="B650" s="194"/>
      <c r="C650" s="470"/>
      <c r="D650" s="470"/>
      <c r="E650" s="470"/>
      <c r="F650" s="283"/>
      <c r="G650" s="470">
        <v>11</v>
      </c>
      <c r="H650" s="282">
        <v>12</v>
      </c>
      <c r="I650" s="470">
        <v>850</v>
      </c>
      <c r="J650" s="470" t="s">
        <v>390</v>
      </c>
      <c r="K650" s="470" t="s">
        <v>462</v>
      </c>
      <c r="L650" s="283">
        <v>44075</v>
      </c>
      <c r="M650" s="281">
        <v>45900</v>
      </c>
      <c r="N650" s="194" t="s">
        <v>141</v>
      </c>
      <c r="O650" s="466">
        <v>0</v>
      </c>
      <c r="P650" s="285" t="s">
        <v>399</v>
      </c>
      <c r="Q650" s="285" t="s">
        <v>399</v>
      </c>
      <c r="R650" s="288">
        <v>0</v>
      </c>
    </row>
    <row r="651" spans="1:18" hidden="1">
      <c r="A651" s="470">
        <v>4511</v>
      </c>
      <c r="B651" s="194"/>
      <c r="C651" s="483"/>
      <c r="D651" s="483"/>
      <c r="E651" s="483"/>
      <c r="F651" s="480"/>
      <c r="G651" s="483">
        <v>9</v>
      </c>
      <c r="H651" s="282">
        <v>10</v>
      </c>
      <c r="I651" s="470">
        <v>850</v>
      </c>
      <c r="J651" s="470" t="s">
        <v>390</v>
      </c>
      <c r="K651" s="470" t="s">
        <v>462</v>
      </c>
      <c r="L651" s="283">
        <v>44805</v>
      </c>
      <c r="M651" s="471"/>
      <c r="N651" s="472" t="s">
        <v>141</v>
      </c>
      <c r="O651" s="466">
        <v>0</v>
      </c>
      <c r="P651" s="285">
        <v>45901</v>
      </c>
      <c r="Q651" s="285">
        <v>46022</v>
      </c>
      <c r="R651" s="288">
        <v>1</v>
      </c>
    </row>
    <row r="652" spans="1:18" hidden="1">
      <c r="A652" s="470">
        <v>4511</v>
      </c>
      <c r="B652" s="194"/>
      <c r="C652" s="483"/>
      <c r="D652" s="483"/>
      <c r="E652" s="483"/>
      <c r="F652" s="480"/>
      <c r="G652" s="483">
        <v>10</v>
      </c>
      <c r="H652" s="282">
        <v>11</v>
      </c>
      <c r="I652" s="470">
        <v>850</v>
      </c>
      <c r="J652" s="470" t="s">
        <v>390</v>
      </c>
      <c r="K652" s="470" t="s">
        <v>462</v>
      </c>
      <c r="L652" s="283">
        <v>44440</v>
      </c>
      <c r="M652" s="471"/>
      <c r="N652" s="472" t="s">
        <v>141</v>
      </c>
      <c r="O652" s="466">
        <v>0</v>
      </c>
      <c r="P652" s="285">
        <v>45901</v>
      </c>
      <c r="Q652" s="285">
        <v>46022</v>
      </c>
      <c r="R652" s="288">
        <v>1</v>
      </c>
    </row>
    <row r="653" spans="1:18" hidden="1">
      <c r="A653" s="194">
        <v>4511</v>
      </c>
      <c r="B653" s="194"/>
      <c r="C653" s="194"/>
      <c r="D653" s="194"/>
      <c r="E653" s="194"/>
      <c r="F653" s="283"/>
      <c r="G653" s="194">
        <v>9</v>
      </c>
      <c r="H653" s="282">
        <v>10</v>
      </c>
      <c r="I653" s="194">
        <v>850</v>
      </c>
      <c r="J653" s="194" t="s">
        <v>390</v>
      </c>
      <c r="K653" s="194" t="s">
        <v>462</v>
      </c>
      <c r="L653" s="283">
        <v>44805</v>
      </c>
      <c r="M653" s="285"/>
      <c r="N653" s="194" t="s">
        <v>141</v>
      </c>
      <c r="O653" s="466">
        <v>0</v>
      </c>
      <c r="P653" s="285">
        <v>45901</v>
      </c>
      <c r="Q653" s="285">
        <v>46022</v>
      </c>
      <c r="R653" s="288">
        <v>1</v>
      </c>
    </row>
    <row r="654" spans="1:18" hidden="1">
      <c r="A654" s="194">
        <v>4511</v>
      </c>
      <c r="B654" s="194"/>
      <c r="C654" s="194"/>
      <c r="D654" s="194"/>
      <c r="E654" s="194"/>
      <c r="F654" s="283"/>
      <c r="G654" s="194">
        <v>10</v>
      </c>
      <c r="H654" s="282">
        <v>11</v>
      </c>
      <c r="I654" s="194">
        <v>850</v>
      </c>
      <c r="J654" s="194" t="s">
        <v>390</v>
      </c>
      <c r="K654" s="194" t="s">
        <v>462</v>
      </c>
      <c r="L654" s="283">
        <v>44075</v>
      </c>
      <c r="M654" s="285"/>
      <c r="N654" s="194" t="s">
        <v>141</v>
      </c>
      <c r="O654" s="466">
        <v>0</v>
      </c>
      <c r="P654" s="285">
        <v>45901</v>
      </c>
      <c r="Q654" s="285">
        <v>46022</v>
      </c>
      <c r="R654" s="288">
        <v>1</v>
      </c>
    </row>
    <row r="655" spans="1:18" hidden="1">
      <c r="A655" s="470">
        <v>4511</v>
      </c>
      <c r="B655" s="194"/>
      <c r="C655" s="194"/>
      <c r="D655" s="194"/>
      <c r="E655" s="194"/>
      <c r="F655" s="281"/>
      <c r="G655" s="193">
        <v>10</v>
      </c>
      <c r="H655" s="282">
        <v>11</v>
      </c>
      <c r="I655" s="470">
        <v>850</v>
      </c>
      <c r="J655" s="470" t="s">
        <v>390</v>
      </c>
      <c r="K655" s="470" t="s">
        <v>462</v>
      </c>
      <c r="L655" s="281">
        <v>44440</v>
      </c>
      <c r="M655" s="281"/>
      <c r="N655" s="194" t="s">
        <v>141</v>
      </c>
      <c r="O655" s="466">
        <v>0</v>
      </c>
      <c r="P655" s="285">
        <v>45901</v>
      </c>
      <c r="Q655" s="285">
        <v>46022</v>
      </c>
      <c r="R655" s="288">
        <v>1</v>
      </c>
    </row>
    <row r="656" spans="1:18" hidden="1">
      <c r="A656" s="194">
        <v>4511</v>
      </c>
      <c r="B656" s="194"/>
      <c r="C656" s="194"/>
      <c r="D656" s="194"/>
      <c r="E656" s="194"/>
      <c r="F656" s="283"/>
      <c r="G656" s="193">
        <v>11</v>
      </c>
      <c r="H656" s="282">
        <v>12</v>
      </c>
      <c r="I656" s="194">
        <v>850</v>
      </c>
      <c r="J656" s="194" t="s">
        <v>390</v>
      </c>
      <c r="K656" s="194" t="s">
        <v>462</v>
      </c>
      <c r="L656" s="283">
        <v>44075</v>
      </c>
      <c r="M656" s="285">
        <v>45900</v>
      </c>
      <c r="N656" s="194" t="s">
        <v>141</v>
      </c>
      <c r="O656" s="466">
        <v>0</v>
      </c>
      <c r="P656" s="285" t="s">
        <v>399</v>
      </c>
      <c r="Q656" s="285" t="s">
        <v>399</v>
      </c>
      <c r="R656" s="288">
        <v>0</v>
      </c>
    </row>
    <row r="657" spans="1:18" hidden="1">
      <c r="A657" s="470">
        <v>4511</v>
      </c>
      <c r="B657" s="194"/>
      <c r="C657" s="470"/>
      <c r="D657" s="470"/>
      <c r="E657" s="470"/>
      <c r="F657" s="283"/>
      <c r="G657" s="470">
        <v>10</v>
      </c>
      <c r="H657" s="282">
        <v>11</v>
      </c>
      <c r="I657" s="470">
        <v>850</v>
      </c>
      <c r="J657" s="470" t="s">
        <v>390</v>
      </c>
      <c r="K657" s="470" t="s">
        <v>462</v>
      </c>
      <c r="L657" s="283">
        <v>44440</v>
      </c>
      <c r="M657" s="281"/>
      <c r="N657" s="472" t="s">
        <v>141</v>
      </c>
      <c r="O657" s="466">
        <v>0</v>
      </c>
      <c r="P657" s="285">
        <v>45901</v>
      </c>
      <c r="Q657" s="285">
        <v>46022</v>
      </c>
      <c r="R657" s="288">
        <v>1</v>
      </c>
    </row>
    <row r="658" spans="1:18" hidden="1">
      <c r="A658" s="470">
        <v>4511</v>
      </c>
      <c r="B658" s="194"/>
      <c r="C658" s="470"/>
      <c r="D658" s="470"/>
      <c r="E658" s="470"/>
      <c r="F658" s="283"/>
      <c r="G658" s="470">
        <v>11</v>
      </c>
      <c r="H658" s="282">
        <v>12</v>
      </c>
      <c r="I658" s="470">
        <v>850</v>
      </c>
      <c r="J658" s="470" t="s">
        <v>390</v>
      </c>
      <c r="K658" s="470" t="s">
        <v>462</v>
      </c>
      <c r="L658" s="283">
        <v>44075</v>
      </c>
      <c r="M658" s="471">
        <v>45900</v>
      </c>
      <c r="N658" s="194" t="s">
        <v>141</v>
      </c>
      <c r="O658" s="466">
        <v>0</v>
      </c>
      <c r="P658" s="285" t="s">
        <v>399</v>
      </c>
      <c r="Q658" s="285" t="s">
        <v>399</v>
      </c>
      <c r="R658" s="288">
        <v>0</v>
      </c>
    </row>
    <row r="659" spans="1:18" hidden="1">
      <c r="A659" s="470">
        <v>4511</v>
      </c>
      <c r="B659" s="194"/>
      <c r="C659" s="470"/>
      <c r="D659" s="470"/>
      <c r="E659" s="470"/>
      <c r="F659" s="283"/>
      <c r="G659" s="470">
        <v>7</v>
      </c>
      <c r="H659" s="282">
        <v>8</v>
      </c>
      <c r="I659" s="470">
        <v>850</v>
      </c>
      <c r="J659" s="470" t="s">
        <v>390</v>
      </c>
      <c r="K659" s="470" t="s">
        <v>462</v>
      </c>
      <c r="L659" s="283">
        <v>45536</v>
      </c>
      <c r="M659" s="471"/>
      <c r="N659" s="194" t="s">
        <v>141</v>
      </c>
      <c r="O659" s="466">
        <v>0</v>
      </c>
      <c r="P659" s="285">
        <v>45901</v>
      </c>
      <c r="Q659" s="285">
        <v>46022</v>
      </c>
      <c r="R659" s="288">
        <v>1</v>
      </c>
    </row>
    <row r="660" spans="1:18" hidden="1">
      <c r="A660" s="470">
        <v>4511</v>
      </c>
      <c r="B660" s="194"/>
      <c r="C660" s="470"/>
      <c r="D660" s="470"/>
      <c r="E660" s="470"/>
      <c r="F660" s="283"/>
      <c r="G660" s="470">
        <v>6</v>
      </c>
      <c r="H660" s="282">
        <v>7</v>
      </c>
      <c r="I660" s="470">
        <v>850</v>
      </c>
      <c r="J660" s="470" t="s">
        <v>390</v>
      </c>
      <c r="K660" s="470" t="s">
        <v>462</v>
      </c>
      <c r="L660" s="283">
        <v>45901</v>
      </c>
      <c r="M660" s="471"/>
      <c r="N660" s="194" t="s">
        <v>141</v>
      </c>
      <c r="O660" s="466">
        <v>0</v>
      </c>
      <c r="P660" s="285">
        <v>45901</v>
      </c>
      <c r="Q660" s="285">
        <v>46022</v>
      </c>
      <c r="R660" s="288">
        <v>1</v>
      </c>
    </row>
    <row r="661" spans="1:18" hidden="1">
      <c r="A661" s="470">
        <v>4511</v>
      </c>
      <c r="B661" s="194"/>
      <c r="C661" s="282"/>
      <c r="D661" s="282"/>
      <c r="E661" s="282"/>
      <c r="F661" s="283"/>
      <c r="G661" s="479">
        <v>9</v>
      </c>
      <c r="H661" s="282">
        <v>10</v>
      </c>
      <c r="I661" s="470">
        <v>850</v>
      </c>
      <c r="J661" s="470" t="s">
        <v>390</v>
      </c>
      <c r="K661" s="470" t="s">
        <v>462</v>
      </c>
      <c r="L661" s="283">
        <v>45663</v>
      </c>
      <c r="M661" s="471"/>
      <c r="N661" s="194" t="s">
        <v>141</v>
      </c>
      <c r="O661" s="466">
        <v>0</v>
      </c>
      <c r="P661" s="285">
        <v>45901</v>
      </c>
      <c r="Q661" s="285">
        <v>46022</v>
      </c>
      <c r="R661" s="288">
        <v>1</v>
      </c>
    </row>
    <row r="662" spans="1:18" hidden="1">
      <c r="A662" s="470">
        <v>4511</v>
      </c>
      <c r="B662" s="194"/>
      <c r="C662" s="470"/>
      <c r="D662" s="470"/>
      <c r="E662" s="470"/>
      <c r="F662" s="283"/>
      <c r="G662" s="483">
        <v>9</v>
      </c>
      <c r="H662" s="282">
        <v>10</v>
      </c>
      <c r="I662" s="470">
        <v>850</v>
      </c>
      <c r="J662" s="470" t="s">
        <v>390</v>
      </c>
      <c r="K662" s="470" t="s">
        <v>462</v>
      </c>
      <c r="L662" s="283">
        <v>44805</v>
      </c>
      <c r="M662" s="284"/>
      <c r="N662" s="194" t="s">
        <v>141</v>
      </c>
      <c r="O662" s="466">
        <v>0</v>
      </c>
      <c r="P662" s="285">
        <v>45901</v>
      </c>
      <c r="Q662" s="285">
        <v>46022</v>
      </c>
      <c r="R662" s="288">
        <v>1</v>
      </c>
    </row>
    <row r="663" spans="1:18" hidden="1">
      <c r="A663" s="194">
        <v>4511</v>
      </c>
      <c r="B663" s="194"/>
      <c r="C663" s="194"/>
      <c r="D663" s="194"/>
      <c r="E663" s="194"/>
      <c r="F663" s="283"/>
      <c r="G663" s="194">
        <v>10</v>
      </c>
      <c r="H663" s="282">
        <v>11</v>
      </c>
      <c r="I663" s="194">
        <v>850</v>
      </c>
      <c r="J663" s="194" t="s">
        <v>390</v>
      </c>
      <c r="K663" s="194" t="s">
        <v>462</v>
      </c>
      <c r="L663" s="283">
        <v>45327</v>
      </c>
      <c r="M663" s="281">
        <v>45900</v>
      </c>
      <c r="N663" s="194" t="s">
        <v>141</v>
      </c>
      <c r="O663" s="466">
        <v>0</v>
      </c>
      <c r="P663" s="285" t="s">
        <v>399</v>
      </c>
      <c r="Q663" s="285" t="s">
        <v>399</v>
      </c>
      <c r="R663" s="288">
        <v>0</v>
      </c>
    </row>
    <row r="664" spans="1:18" hidden="1">
      <c r="A664" s="470">
        <v>4511</v>
      </c>
      <c r="B664" s="194"/>
      <c r="C664" s="470"/>
      <c r="D664" s="470"/>
      <c r="E664" s="470"/>
      <c r="F664" s="283"/>
      <c r="G664" s="470">
        <v>6</v>
      </c>
      <c r="H664" s="282">
        <v>7</v>
      </c>
      <c r="I664" s="470">
        <v>850</v>
      </c>
      <c r="J664" s="470" t="s">
        <v>390</v>
      </c>
      <c r="K664" s="470" t="s">
        <v>462</v>
      </c>
      <c r="L664" s="283">
        <v>45901</v>
      </c>
      <c r="M664" s="471"/>
      <c r="N664" s="194" t="s">
        <v>141</v>
      </c>
      <c r="O664" s="466">
        <v>0</v>
      </c>
      <c r="P664" s="285">
        <v>45901</v>
      </c>
      <c r="Q664" s="285">
        <v>46022</v>
      </c>
      <c r="R664" s="288">
        <v>1</v>
      </c>
    </row>
    <row r="665" spans="1:18" hidden="1">
      <c r="A665" s="470">
        <v>4511</v>
      </c>
      <c r="B665" s="194"/>
      <c r="C665" s="483"/>
      <c r="D665" s="483"/>
      <c r="E665" s="483"/>
      <c r="F665" s="480"/>
      <c r="G665" s="483">
        <v>8</v>
      </c>
      <c r="H665" s="282">
        <v>9</v>
      </c>
      <c r="I665" s="470">
        <v>850</v>
      </c>
      <c r="J665" s="470" t="s">
        <v>390</v>
      </c>
      <c r="K665" s="470" t="s">
        <v>462</v>
      </c>
      <c r="L665" s="283">
        <v>45901</v>
      </c>
      <c r="M665" s="471"/>
      <c r="N665" s="194" t="s">
        <v>141</v>
      </c>
      <c r="O665" s="466">
        <v>0</v>
      </c>
      <c r="P665" s="285">
        <v>45901</v>
      </c>
      <c r="Q665" s="285">
        <v>46022</v>
      </c>
      <c r="R665" s="288">
        <v>1</v>
      </c>
    </row>
    <row r="666" spans="1:18" hidden="1">
      <c r="A666" s="470">
        <v>5208</v>
      </c>
      <c r="B666" s="194"/>
      <c r="C666" s="470"/>
      <c r="D666" s="470"/>
      <c r="E666" s="470"/>
      <c r="F666" s="283"/>
      <c r="G666" s="470">
        <v>2</v>
      </c>
      <c r="H666" s="282">
        <v>3</v>
      </c>
      <c r="I666" s="470">
        <v>850</v>
      </c>
      <c r="J666" s="470" t="s">
        <v>390</v>
      </c>
      <c r="K666" s="470" t="s">
        <v>463</v>
      </c>
      <c r="L666" s="283">
        <v>45901</v>
      </c>
      <c r="M666" s="471"/>
      <c r="N666" s="194" t="s">
        <v>142</v>
      </c>
      <c r="O666" s="466">
        <v>0</v>
      </c>
      <c r="P666" s="285">
        <v>45901</v>
      </c>
      <c r="Q666" s="285">
        <v>46022</v>
      </c>
      <c r="R666" s="288">
        <v>1</v>
      </c>
    </row>
    <row r="667" spans="1:18" hidden="1">
      <c r="A667" s="194">
        <v>5208</v>
      </c>
      <c r="B667" s="194"/>
      <c r="C667" s="194"/>
      <c r="D667" s="194"/>
      <c r="E667" s="194"/>
      <c r="F667" s="283"/>
      <c r="G667" s="194">
        <v>5</v>
      </c>
      <c r="H667" s="282">
        <v>6</v>
      </c>
      <c r="I667" s="194">
        <v>850</v>
      </c>
      <c r="J667" s="194" t="s">
        <v>390</v>
      </c>
      <c r="K667" s="194" t="s">
        <v>463</v>
      </c>
      <c r="L667" s="283">
        <v>44805</v>
      </c>
      <c r="M667" s="285"/>
      <c r="N667" s="194" t="s">
        <v>142</v>
      </c>
      <c r="O667" s="466">
        <v>0</v>
      </c>
      <c r="P667" s="285">
        <v>45901</v>
      </c>
      <c r="Q667" s="285">
        <v>46022</v>
      </c>
      <c r="R667" s="288">
        <v>1</v>
      </c>
    </row>
    <row r="668" spans="1:18" hidden="1">
      <c r="A668" s="194">
        <v>5208</v>
      </c>
      <c r="B668" s="194"/>
      <c r="C668" s="194"/>
      <c r="D668" s="194"/>
      <c r="E668" s="194"/>
      <c r="F668" s="283"/>
      <c r="G668" s="194">
        <v>5</v>
      </c>
      <c r="H668" s="282">
        <v>6</v>
      </c>
      <c r="I668" s="194">
        <v>850</v>
      </c>
      <c r="J668" s="194" t="s">
        <v>390</v>
      </c>
      <c r="K668" s="194" t="s">
        <v>464</v>
      </c>
      <c r="L668" s="283">
        <v>44805</v>
      </c>
      <c r="M668" s="285"/>
      <c r="N668" s="194" t="s">
        <v>143</v>
      </c>
      <c r="O668" s="466">
        <v>0</v>
      </c>
      <c r="P668" s="285">
        <v>45901</v>
      </c>
      <c r="Q668" s="285">
        <v>46022</v>
      </c>
      <c r="R668" s="288">
        <v>1</v>
      </c>
    </row>
    <row r="669" spans="1:18" hidden="1">
      <c r="A669" s="470">
        <v>5208</v>
      </c>
      <c r="B669" s="194"/>
      <c r="C669" s="470"/>
      <c r="D669" s="470"/>
      <c r="E669" s="470"/>
      <c r="F669" s="283"/>
      <c r="G669" s="470">
        <v>5</v>
      </c>
      <c r="H669" s="282">
        <v>6</v>
      </c>
      <c r="I669" s="470">
        <v>850</v>
      </c>
      <c r="J669" s="470" t="s">
        <v>390</v>
      </c>
      <c r="K669" s="470" t="s">
        <v>463</v>
      </c>
      <c r="L669" s="283">
        <v>44805</v>
      </c>
      <c r="M669" s="471"/>
      <c r="N669" s="194" t="s">
        <v>142</v>
      </c>
      <c r="O669" s="466">
        <v>0</v>
      </c>
      <c r="P669" s="285">
        <v>45901</v>
      </c>
      <c r="Q669" s="285">
        <v>46022</v>
      </c>
      <c r="R669" s="288">
        <v>1</v>
      </c>
    </row>
    <row r="670" spans="1:18" hidden="1">
      <c r="A670" s="470">
        <v>5208</v>
      </c>
      <c r="B670" s="194"/>
      <c r="C670" s="470"/>
      <c r="D670" s="470"/>
      <c r="E670" s="470"/>
      <c r="F670" s="283"/>
      <c r="G670" s="470">
        <v>4</v>
      </c>
      <c r="H670" s="282">
        <v>5</v>
      </c>
      <c r="I670" s="470">
        <v>850</v>
      </c>
      <c r="J670" s="470" t="s">
        <v>390</v>
      </c>
      <c r="K670" s="470" t="s">
        <v>464</v>
      </c>
      <c r="L670" s="283">
        <v>45536</v>
      </c>
      <c r="M670" s="471"/>
      <c r="N670" s="194" t="s">
        <v>143</v>
      </c>
      <c r="O670" s="466">
        <v>0</v>
      </c>
      <c r="P670" s="285">
        <v>45901</v>
      </c>
      <c r="Q670" s="285">
        <v>46022</v>
      </c>
      <c r="R670" s="288">
        <v>1</v>
      </c>
    </row>
    <row r="671" spans="1:18" hidden="1">
      <c r="A671" s="470">
        <v>5208</v>
      </c>
      <c r="B671" s="194"/>
      <c r="C671" s="470"/>
      <c r="D671" s="470"/>
      <c r="E671" s="470"/>
      <c r="F671" s="283"/>
      <c r="G671" s="470">
        <v>3</v>
      </c>
      <c r="H671" s="282">
        <v>4</v>
      </c>
      <c r="I671" s="470">
        <v>850</v>
      </c>
      <c r="J671" s="470" t="s">
        <v>390</v>
      </c>
      <c r="K671" s="470" t="s">
        <v>464</v>
      </c>
      <c r="L671" s="283">
        <v>45536</v>
      </c>
      <c r="M671" s="471"/>
      <c r="N671" s="194" t="s">
        <v>143</v>
      </c>
      <c r="O671" s="466">
        <v>0</v>
      </c>
      <c r="P671" s="285">
        <v>45901</v>
      </c>
      <c r="Q671" s="285">
        <v>46022</v>
      </c>
      <c r="R671" s="288">
        <v>1</v>
      </c>
    </row>
    <row r="672" spans="1:18" hidden="1">
      <c r="A672" s="194">
        <v>5208</v>
      </c>
      <c r="B672" s="194"/>
      <c r="C672" s="194"/>
      <c r="D672" s="194"/>
      <c r="E672" s="194"/>
      <c r="F672" s="283"/>
      <c r="G672" s="194">
        <v>2</v>
      </c>
      <c r="H672" s="282">
        <v>3</v>
      </c>
      <c r="I672" s="194">
        <v>850</v>
      </c>
      <c r="J672" s="194" t="s">
        <v>390</v>
      </c>
      <c r="K672" s="194" t="s">
        <v>463</v>
      </c>
      <c r="L672" s="283">
        <v>45901</v>
      </c>
      <c r="M672" s="285"/>
      <c r="N672" s="194" t="s">
        <v>142</v>
      </c>
      <c r="O672" s="466">
        <v>0</v>
      </c>
      <c r="P672" s="285">
        <v>45901</v>
      </c>
      <c r="Q672" s="285">
        <v>46022</v>
      </c>
      <c r="R672" s="288">
        <v>1</v>
      </c>
    </row>
    <row r="673" spans="1:18" hidden="1">
      <c r="A673" s="194">
        <v>5208</v>
      </c>
      <c r="B673" s="194"/>
      <c r="C673" s="194"/>
      <c r="D673" s="194"/>
      <c r="E673" s="194"/>
      <c r="F673" s="283"/>
      <c r="G673" s="194">
        <v>6</v>
      </c>
      <c r="H673" s="282">
        <v>7</v>
      </c>
      <c r="I673" s="194">
        <v>850</v>
      </c>
      <c r="J673" s="194" t="s">
        <v>390</v>
      </c>
      <c r="K673" s="194" t="s">
        <v>463</v>
      </c>
      <c r="L673" s="283">
        <v>44440</v>
      </c>
      <c r="M673" s="285">
        <v>45900</v>
      </c>
      <c r="N673" s="194" t="s">
        <v>142</v>
      </c>
      <c r="O673" s="466">
        <v>0</v>
      </c>
      <c r="P673" s="285" t="s">
        <v>399</v>
      </c>
      <c r="Q673" s="285" t="s">
        <v>399</v>
      </c>
      <c r="R673" s="288">
        <v>0</v>
      </c>
    </row>
    <row r="674" spans="1:18" hidden="1">
      <c r="A674" s="194">
        <v>5208</v>
      </c>
      <c r="B674" s="194"/>
      <c r="C674" s="194"/>
      <c r="D674" s="194"/>
      <c r="E674" s="194"/>
      <c r="F674" s="283"/>
      <c r="G674" s="194">
        <v>6</v>
      </c>
      <c r="H674" s="282">
        <v>7</v>
      </c>
      <c r="I674" s="194">
        <v>850</v>
      </c>
      <c r="J674" s="194" t="s">
        <v>390</v>
      </c>
      <c r="K674" s="194" t="s">
        <v>463</v>
      </c>
      <c r="L674" s="283">
        <v>44440</v>
      </c>
      <c r="M674" s="285">
        <v>45900</v>
      </c>
      <c r="N674" s="194" t="s">
        <v>142</v>
      </c>
      <c r="O674" s="466">
        <v>0</v>
      </c>
      <c r="P674" s="285" t="s">
        <v>399</v>
      </c>
      <c r="Q674" s="285" t="s">
        <v>399</v>
      </c>
      <c r="R674" s="288">
        <v>0</v>
      </c>
    </row>
    <row r="675" spans="1:18" hidden="1">
      <c r="A675" s="470">
        <v>5208</v>
      </c>
      <c r="B675" s="194"/>
      <c r="C675" s="470"/>
      <c r="D675" s="470"/>
      <c r="E675" s="470"/>
      <c r="F675" s="283"/>
      <c r="G675" s="470">
        <v>4</v>
      </c>
      <c r="H675" s="282">
        <v>5</v>
      </c>
      <c r="I675" s="470">
        <v>850</v>
      </c>
      <c r="J675" s="470" t="s">
        <v>390</v>
      </c>
      <c r="K675" s="470" t="s">
        <v>463</v>
      </c>
      <c r="L675" s="283">
        <v>45170</v>
      </c>
      <c r="M675" s="281"/>
      <c r="N675" s="287" t="s">
        <v>142</v>
      </c>
      <c r="O675" s="466">
        <v>0</v>
      </c>
      <c r="P675" s="285">
        <v>45901</v>
      </c>
      <c r="Q675" s="285">
        <v>46022</v>
      </c>
      <c r="R675" s="288">
        <v>1</v>
      </c>
    </row>
    <row r="676" spans="1:18" hidden="1">
      <c r="A676" s="470">
        <v>5208</v>
      </c>
      <c r="B676" s="194"/>
      <c r="C676" s="470"/>
      <c r="D676" s="470"/>
      <c r="E676" s="470"/>
      <c r="F676" s="283"/>
      <c r="G676" s="470">
        <v>5</v>
      </c>
      <c r="H676" s="282">
        <v>6</v>
      </c>
      <c r="I676" s="470">
        <v>850</v>
      </c>
      <c r="J676" s="470" t="s">
        <v>390</v>
      </c>
      <c r="K676" s="470" t="s">
        <v>463</v>
      </c>
      <c r="L676" s="283">
        <v>44805</v>
      </c>
      <c r="M676" s="471"/>
      <c r="N676" s="472" t="s">
        <v>142</v>
      </c>
      <c r="O676" s="466">
        <v>0</v>
      </c>
      <c r="P676" s="285">
        <v>45901</v>
      </c>
      <c r="Q676" s="285">
        <v>46022</v>
      </c>
      <c r="R676" s="288">
        <v>1</v>
      </c>
    </row>
    <row r="677" spans="1:18" hidden="1">
      <c r="A677" s="470">
        <v>5208</v>
      </c>
      <c r="B677" s="194"/>
      <c r="C677" s="470"/>
      <c r="D677" s="470"/>
      <c r="E677" s="470"/>
      <c r="F677" s="283"/>
      <c r="G677" s="470">
        <v>5</v>
      </c>
      <c r="H677" s="282">
        <v>6</v>
      </c>
      <c r="I677" s="470">
        <v>850</v>
      </c>
      <c r="J677" s="470" t="s">
        <v>390</v>
      </c>
      <c r="K677" s="470" t="s">
        <v>463</v>
      </c>
      <c r="L677" s="283">
        <v>44805</v>
      </c>
      <c r="M677" s="471"/>
      <c r="N677" s="472" t="s">
        <v>142</v>
      </c>
      <c r="O677" s="466">
        <v>0</v>
      </c>
      <c r="P677" s="285">
        <v>45901</v>
      </c>
      <c r="Q677" s="285">
        <v>46022</v>
      </c>
      <c r="R677" s="288">
        <v>1</v>
      </c>
    </row>
    <row r="678" spans="1:18" hidden="1">
      <c r="A678" s="470">
        <v>5208</v>
      </c>
      <c r="B678" s="194"/>
      <c r="C678" s="470"/>
      <c r="D678" s="470"/>
      <c r="E678" s="470"/>
      <c r="F678" s="283"/>
      <c r="G678" s="470">
        <v>2</v>
      </c>
      <c r="H678" s="282">
        <v>3</v>
      </c>
      <c r="I678" s="470">
        <v>850</v>
      </c>
      <c r="J678" s="470" t="s">
        <v>390</v>
      </c>
      <c r="K678" s="470" t="s">
        <v>463</v>
      </c>
      <c r="L678" s="283">
        <v>45901</v>
      </c>
      <c r="M678" s="281"/>
      <c r="N678" s="472" t="s">
        <v>142</v>
      </c>
      <c r="O678" s="466">
        <v>0</v>
      </c>
      <c r="P678" s="285">
        <v>45901</v>
      </c>
      <c r="Q678" s="285">
        <v>46022</v>
      </c>
      <c r="R678" s="288">
        <v>1</v>
      </c>
    </row>
    <row r="679" spans="1:18" hidden="1">
      <c r="A679" s="470">
        <v>5208</v>
      </c>
      <c r="B679" s="194"/>
      <c r="C679" s="470"/>
      <c r="D679" s="470"/>
      <c r="E679" s="470"/>
      <c r="F679" s="283"/>
      <c r="G679" s="470">
        <v>3</v>
      </c>
      <c r="H679" s="282">
        <v>4</v>
      </c>
      <c r="I679" s="470">
        <v>850</v>
      </c>
      <c r="J679" s="470" t="s">
        <v>390</v>
      </c>
      <c r="K679" s="470" t="s">
        <v>463</v>
      </c>
      <c r="L679" s="283">
        <v>45536</v>
      </c>
      <c r="M679" s="281">
        <v>45900</v>
      </c>
      <c r="N679" s="472" t="s">
        <v>142</v>
      </c>
      <c r="O679" s="466">
        <v>0</v>
      </c>
      <c r="P679" s="285" t="s">
        <v>399</v>
      </c>
      <c r="Q679" s="285" t="s">
        <v>399</v>
      </c>
      <c r="R679" s="288">
        <v>0</v>
      </c>
    </row>
    <row r="680" spans="1:18" hidden="1">
      <c r="A680" s="470">
        <v>5208</v>
      </c>
      <c r="B680" s="194"/>
      <c r="C680" s="470"/>
      <c r="D680" s="470"/>
      <c r="E680" s="470"/>
      <c r="F680" s="283"/>
      <c r="G680" s="470">
        <v>4</v>
      </c>
      <c r="H680" s="282">
        <v>5</v>
      </c>
      <c r="I680" s="470">
        <v>850</v>
      </c>
      <c r="J680" s="470" t="s">
        <v>390</v>
      </c>
      <c r="K680" s="470" t="s">
        <v>464</v>
      </c>
      <c r="L680" s="283">
        <v>45170</v>
      </c>
      <c r="M680" s="281"/>
      <c r="N680" s="472" t="s">
        <v>143</v>
      </c>
      <c r="O680" s="466">
        <v>0</v>
      </c>
      <c r="P680" s="285">
        <v>45901</v>
      </c>
      <c r="Q680" s="285">
        <v>46022</v>
      </c>
      <c r="R680" s="288">
        <v>1</v>
      </c>
    </row>
    <row r="681" spans="1:18" hidden="1">
      <c r="A681" s="470">
        <v>5208</v>
      </c>
      <c r="B681" s="194"/>
      <c r="C681" s="282"/>
      <c r="D681" s="282"/>
      <c r="E681" s="282"/>
      <c r="F681" s="283"/>
      <c r="G681" s="282">
        <v>4</v>
      </c>
      <c r="H681" s="282">
        <v>5</v>
      </c>
      <c r="I681" s="470">
        <v>850</v>
      </c>
      <c r="J681" s="470" t="s">
        <v>390</v>
      </c>
      <c r="K681" s="470" t="s">
        <v>463</v>
      </c>
      <c r="L681" s="283">
        <v>45170</v>
      </c>
      <c r="M681" s="281"/>
      <c r="N681" s="472" t="s">
        <v>142</v>
      </c>
      <c r="O681" s="466">
        <v>0</v>
      </c>
      <c r="P681" s="285">
        <v>45901</v>
      </c>
      <c r="Q681" s="285">
        <v>46022</v>
      </c>
      <c r="R681" s="288">
        <v>1</v>
      </c>
    </row>
    <row r="682" spans="1:18" hidden="1">
      <c r="A682" s="470">
        <v>5208</v>
      </c>
      <c r="B682" s="194"/>
      <c r="C682" s="282"/>
      <c r="D682" s="282"/>
      <c r="E682" s="282"/>
      <c r="F682" s="283"/>
      <c r="G682" s="282">
        <v>4</v>
      </c>
      <c r="H682" s="282">
        <v>5</v>
      </c>
      <c r="I682" s="470">
        <v>850</v>
      </c>
      <c r="J682" s="470" t="s">
        <v>390</v>
      </c>
      <c r="K682" s="470" t="s">
        <v>463</v>
      </c>
      <c r="L682" s="283">
        <v>45170</v>
      </c>
      <c r="M682" s="281"/>
      <c r="N682" s="472" t="s">
        <v>142</v>
      </c>
      <c r="O682" s="466">
        <v>0</v>
      </c>
      <c r="P682" s="285">
        <v>45901</v>
      </c>
      <c r="Q682" s="285">
        <v>46022</v>
      </c>
      <c r="R682" s="288">
        <v>1</v>
      </c>
    </row>
    <row r="683" spans="1:18" hidden="1">
      <c r="A683" s="194">
        <v>5208</v>
      </c>
      <c r="B683" s="194"/>
      <c r="C683" s="194"/>
      <c r="D683" s="194"/>
      <c r="E683" s="194"/>
      <c r="F683" s="283"/>
      <c r="G683" s="194">
        <v>5</v>
      </c>
      <c r="H683" s="282">
        <v>6</v>
      </c>
      <c r="I683" s="194">
        <v>850</v>
      </c>
      <c r="J683" s="194" t="s">
        <v>390</v>
      </c>
      <c r="K683" s="194" t="s">
        <v>464</v>
      </c>
      <c r="L683" s="283">
        <v>44805</v>
      </c>
      <c r="M683" s="285"/>
      <c r="N683" s="287" t="s">
        <v>143</v>
      </c>
      <c r="O683" s="466">
        <v>0</v>
      </c>
      <c r="P683" s="285">
        <v>45901</v>
      </c>
      <c r="Q683" s="285">
        <v>46022</v>
      </c>
      <c r="R683" s="288">
        <v>1</v>
      </c>
    </row>
    <row r="684" spans="1:18" hidden="1">
      <c r="A684" s="470">
        <v>5405</v>
      </c>
      <c r="B684" s="194"/>
      <c r="C684" s="470"/>
      <c r="D684" s="470"/>
      <c r="E684" s="470"/>
      <c r="F684" s="283"/>
      <c r="G684" s="470">
        <v>5</v>
      </c>
      <c r="H684" s="282">
        <v>6</v>
      </c>
      <c r="I684" s="470">
        <v>850</v>
      </c>
      <c r="J684" s="470" t="s">
        <v>390</v>
      </c>
      <c r="K684" s="470" t="s">
        <v>465</v>
      </c>
      <c r="L684" s="283">
        <v>45901</v>
      </c>
      <c r="M684" s="281"/>
      <c r="N684" s="287" t="s">
        <v>141</v>
      </c>
      <c r="O684" s="466">
        <v>0</v>
      </c>
      <c r="P684" s="285">
        <v>45901</v>
      </c>
      <c r="Q684" s="285">
        <v>46022</v>
      </c>
      <c r="R684" s="288">
        <v>1</v>
      </c>
    </row>
    <row r="685" spans="1:18" hidden="1">
      <c r="A685" s="470">
        <v>5405</v>
      </c>
      <c r="B685" s="194"/>
      <c r="C685" s="483"/>
      <c r="D685" s="483"/>
      <c r="E685" s="483"/>
      <c r="F685" s="480"/>
      <c r="G685" s="483">
        <v>7</v>
      </c>
      <c r="H685" s="282">
        <v>8</v>
      </c>
      <c r="I685" s="470">
        <v>850</v>
      </c>
      <c r="J685" s="470" t="s">
        <v>390</v>
      </c>
      <c r="K685" s="470" t="s">
        <v>465</v>
      </c>
      <c r="L685" s="283">
        <v>45536</v>
      </c>
      <c r="M685" s="471"/>
      <c r="N685" s="287" t="s">
        <v>141</v>
      </c>
      <c r="O685" s="466">
        <v>0</v>
      </c>
      <c r="P685" s="285">
        <v>45901</v>
      </c>
      <c r="Q685" s="285">
        <v>46022</v>
      </c>
      <c r="R685" s="288">
        <v>1</v>
      </c>
    </row>
    <row r="686" spans="1:18" hidden="1">
      <c r="A686" s="470">
        <v>5405</v>
      </c>
      <c r="B686" s="194"/>
      <c r="C686" s="483"/>
      <c r="D686" s="483"/>
      <c r="E686" s="483"/>
      <c r="F686" s="480"/>
      <c r="G686" s="479">
        <v>10</v>
      </c>
      <c r="H686" s="282">
        <v>11</v>
      </c>
      <c r="I686" s="470">
        <v>850</v>
      </c>
      <c r="J686" s="470" t="s">
        <v>390</v>
      </c>
      <c r="K686" s="470" t="s">
        <v>465</v>
      </c>
      <c r="L686" s="283">
        <v>44440</v>
      </c>
      <c r="M686" s="471"/>
      <c r="N686" s="287" t="s">
        <v>141</v>
      </c>
      <c r="O686" s="466">
        <v>0</v>
      </c>
      <c r="P686" s="285">
        <v>45901</v>
      </c>
      <c r="Q686" s="285">
        <v>46022</v>
      </c>
      <c r="R686" s="288">
        <v>1</v>
      </c>
    </row>
    <row r="687" spans="1:18" hidden="1">
      <c r="A687" s="470">
        <v>5405</v>
      </c>
      <c r="B687" s="194"/>
      <c r="C687" s="470"/>
      <c r="D687" s="470"/>
      <c r="E687" s="470"/>
      <c r="F687" s="283"/>
      <c r="G687" s="470">
        <v>11</v>
      </c>
      <c r="H687" s="282">
        <v>12</v>
      </c>
      <c r="I687" s="470">
        <v>850</v>
      </c>
      <c r="J687" s="470" t="s">
        <v>390</v>
      </c>
      <c r="K687" s="470" t="s">
        <v>465</v>
      </c>
      <c r="L687" s="283">
        <v>44440</v>
      </c>
      <c r="M687" s="471">
        <v>45900</v>
      </c>
      <c r="N687" s="195" t="s">
        <v>141</v>
      </c>
      <c r="O687" s="466">
        <v>0</v>
      </c>
      <c r="P687" s="285" t="s">
        <v>399</v>
      </c>
      <c r="Q687" s="285" t="s">
        <v>399</v>
      </c>
      <c r="R687" s="288">
        <v>0</v>
      </c>
    </row>
    <row r="688" spans="1:18" hidden="1">
      <c r="A688" s="470">
        <v>5405</v>
      </c>
      <c r="B688" s="194"/>
      <c r="C688" s="470"/>
      <c r="D688" s="470"/>
      <c r="E688" s="470"/>
      <c r="F688" s="283"/>
      <c r="G688" s="470">
        <v>9</v>
      </c>
      <c r="H688" s="282">
        <v>10</v>
      </c>
      <c r="I688" s="470">
        <v>850</v>
      </c>
      <c r="J688" s="470" t="s">
        <v>390</v>
      </c>
      <c r="K688" s="470" t="s">
        <v>465</v>
      </c>
      <c r="L688" s="283">
        <v>44805</v>
      </c>
      <c r="M688" s="471"/>
      <c r="N688" s="195" t="s">
        <v>141</v>
      </c>
      <c r="O688" s="466">
        <v>0</v>
      </c>
      <c r="P688" s="285">
        <v>45901</v>
      </c>
      <c r="Q688" s="285">
        <v>46022</v>
      </c>
      <c r="R688" s="288">
        <v>1</v>
      </c>
    </row>
    <row r="689" spans="1:18" hidden="1">
      <c r="A689" s="470">
        <v>5405</v>
      </c>
      <c r="B689" s="194"/>
      <c r="C689" s="470"/>
      <c r="D689" s="470"/>
      <c r="E689" s="470"/>
      <c r="F689" s="283"/>
      <c r="G689" s="470">
        <v>11</v>
      </c>
      <c r="H689" s="282">
        <v>12</v>
      </c>
      <c r="I689" s="470">
        <v>850</v>
      </c>
      <c r="J689" s="470" t="s">
        <v>390</v>
      </c>
      <c r="K689" s="470" t="s">
        <v>465</v>
      </c>
      <c r="L689" s="283">
        <v>44075</v>
      </c>
      <c r="M689" s="471">
        <v>45900</v>
      </c>
      <c r="N689" s="195" t="s">
        <v>141</v>
      </c>
      <c r="O689" s="466">
        <v>0</v>
      </c>
      <c r="P689" s="285" t="s">
        <v>399</v>
      </c>
      <c r="Q689" s="285" t="s">
        <v>399</v>
      </c>
      <c r="R689" s="288">
        <v>0</v>
      </c>
    </row>
    <row r="690" spans="1:18" hidden="1">
      <c r="A690" s="470">
        <v>5405</v>
      </c>
      <c r="B690" s="194"/>
      <c r="C690" s="470"/>
      <c r="D690" s="470"/>
      <c r="E690" s="470"/>
      <c r="F690" s="283"/>
      <c r="G690" s="470">
        <v>8</v>
      </c>
      <c r="H690" s="282">
        <v>9</v>
      </c>
      <c r="I690" s="470">
        <v>850</v>
      </c>
      <c r="J690" s="470" t="s">
        <v>390</v>
      </c>
      <c r="K690" s="470" t="s">
        <v>465</v>
      </c>
      <c r="L690" s="283">
        <v>45170</v>
      </c>
      <c r="M690" s="471"/>
      <c r="N690" s="195" t="s">
        <v>141</v>
      </c>
      <c r="O690" s="466">
        <v>0</v>
      </c>
      <c r="P690" s="285">
        <v>45901</v>
      </c>
      <c r="Q690" s="285">
        <v>46022</v>
      </c>
      <c r="R690" s="288">
        <v>1</v>
      </c>
    </row>
    <row r="691" spans="1:18" hidden="1">
      <c r="A691" s="194">
        <v>5405</v>
      </c>
      <c r="B691" s="194"/>
      <c r="C691" s="194"/>
      <c r="D691" s="194"/>
      <c r="E691" s="194"/>
      <c r="F691" s="283"/>
      <c r="G691" s="194">
        <v>7</v>
      </c>
      <c r="H691" s="282">
        <v>8</v>
      </c>
      <c r="I691" s="194">
        <v>850</v>
      </c>
      <c r="J691" s="194" t="s">
        <v>390</v>
      </c>
      <c r="K691" s="194" t="s">
        <v>465</v>
      </c>
      <c r="L691" s="283">
        <v>45536</v>
      </c>
      <c r="M691" s="285"/>
      <c r="N691" s="195" t="s">
        <v>141</v>
      </c>
      <c r="O691" s="466">
        <v>0</v>
      </c>
      <c r="P691" s="285">
        <v>45901</v>
      </c>
      <c r="Q691" s="285">
        <v>46022</v>
      </c>
      <c r="R691" s="288">
        <v>1</v>
      </c>
    </row>
    <row r="692" spans="1:18" hidden="1">
      <c r="A692" s="470">
        <v>5405</v>
      </c>
      <c r="B692" s="194"/>
      <c r="C692" s="470"/>
      <c r="D692" s="470"/>
      <c r="E692" s="470"/>
      <c r="F692" s="283"/>
      <c r="G692" s="483">
        <v>9</v>
      </c>
      <c r="H692" s="282">
        <v>10</v>
      </c>
      <c r="I692" s="470">
        <v>850</v>
      </c>
      <c r="J692" s="470" t="s">
        <v>390</v>
      </c>
      <c r="K692" s="470" t="s">
        <v>465</v>
      </c>
      <c r="L692" s="283">
        <v>44998</v>
      </c>
      <c r="M692" s="471"/>
      <c r="N692" s="195" t="s">
        <v>141</v>
      </c>
      <c r="O692" s="466">
        <v>0</v>
      </c>
      <c r="P692" s="285">
        <v>45901</v>
      </c>
      <c r="Q692" s="285">
        <v>46022</v>
      </c>
      <c r="R692" s="288">
        <v>1</v>
      </c>
    </row>
    <row r="693" spans="1:18" hidden="1">
      <c r="A693" s="470">
        <v>5405</v>
      </c>
      <c r="B693" s="194"/>
      <c r="C693" s="470"/>
      <c r="D693" s="470"/>
      <c r="E693" s="470"/>
      <c r="F693" s="283"/>
      <c r="G693" s="194">
        <v>5</v>
      </c>
      <c r="H693" s="282">
        <v>6</v>
      </c>
      <c r="I693" s="470">
        <v>850</v>
      </c>
      <c r="J693" s="470" t="s">
        <v>390</v>
      </c>
      <c r="K693" s="470" t="s">
        <v>465</v>
      </c>
      <c r="L693" s="281">
        <v>45901</v>
      </c>
      <c r="M693" s="285"/>
      <c r="N693" s="195" t="s">
        <v>141</v>
      </c>
      <c r="O693" s="466">
        <v>0</v>
      </c>
      <c r="P693" s="285">
        <v>45901</v>
      </c>
      <c r="Q693" s="285">
        <v>46022</v>
      </c>
      <c r="R693" s="288">
        <v>1</v>
      </c>
    </row>
    <row r="694" spans="1:18" hidden="1">
      <c r="A694" s="194">
        <v>5405</v>
      </c>
      <c r="B694" s="194"/>
      <c r="C694" s="194"/>
      <c r="D694" s="194"/>
      <c r="E694" s="194"/>
      <c r="F694" s="283"/>
      <c r="G694" s="194">
        <v>8</v>
      </c>
      <c r="H694" s="282">
        <v>9</v>
      </c>
      <c r="I694" s="194">
        <v>850</v>
      </c>
      <c r="J694" s="194" t="s">
        <v>390</v>
      </c>
      <c r="K694" s="194" t="s">
        <v>465</v>
      </c>
      <c r="L694" s="283">
        <v>45170</v>
      </c>
      <c r="M694" s="285"/>
      <c r="N694" s="195" t="s">
        <v>141</v>
      </c>
      <c r="O694" s="466">
        <v>0</v>
      </c>
      <c r="P694" s="285">
        <v>45901</v>
      </c>
      <c r="Q694" s="285">
        <v>46022</v>
      </c>
      <c r="R694" s="288">
        <v>1</v>
      </c>
    </row>
    <row r="695" spans="1:18" hidden="1">
      <c r="A695" s="470">
        <v>5405</v>
      </c>
      <c r="B695" s="194"/>
      <c r="C695" s="470"/>
      <c r="D695" s="470"/>
      <c r="E695" s="470"/>
      <c r="F695" s="283"/>
      <c r="G695" s="194">
        <v>7</v>
      </c>
      <c r="H695" s="282">
        <v>8</v>
      </c>
      <c r="I695" s="470">
        <v>850</v>
      </c>
      <c r="J695" s="470" t="s">
        <v>390</v>
      </c>
      <c r="K695" s="470" t="s">
        <v>465</v>
      </c>
      <c r="L695" s="283">
        <v>45536</v>
      </c>
      <c r="M695" s="281"/>
      <c r="N695" s="195" t="s">
        <v>141</v>
      </c>
      <c r="O695" s="466">
        <v>0</v>
      </c>
      <c r="P695" s="285">
        <v>45901</v>
      </c>
      <c r="Q695" s="285">
        <v>46022</v>
      </c>
      <c r="R695" s="288">
        <v>1</v>
      </c>
    </row>
    <row r="696" spans="1:18" hidden="1">
      <c r="A696" s="470">
        <v>5405</v>
      </c>
      <c r="B696" s="194"/>
      <c r="C696" s="470"/>
      <c r="D696" s="470"/>
      <c r="E696" s="470"/>
      <c r="F696" s="283"/>
      <c r="G696" s="470">
        <v>10</v>
      </c>
      <c r="H696" s="282">
        <v>11</v>
      </c>
      <c r="I696" s="470">
        <v>850</v>
      </c>
      <c r="J696" s="470" t="s">
        <v>390</v>
      </c>
      <c r="K696" s="470" t="s">
        <v>465</v>
      </c>
      <c r="L696" s="283">
        <v>44440</v>
      </c>
      <c r="M696" s="471"/>
      <c r="N696" s="195" t="s">
        <v>141</v>
      </c>
      <c r="O696" s="466">
        <v>0</v>
      </c>
      <c r="P696" s="285">
        <v>45901</v>
      </c>
      <c r="Q696" s="285">
        <v>46022</v>
      </c>
      <c r="R696" s="288">
        <v>1</v>
      </c>
    </row>
    <row r="697" spans="1:18" hidden="1">
      <c r="A697" s="194">
        <v>5405</v>
      </c>
      <c r="B697" s="194"/>
      <c r="C697" s="194"/>
      <c r="D697" s="194"/>
      <c r="E697" s="194"/>
      <c r="F697" s="283"/>
      <c r="G697" s="193">
        <v>8</v>
      </c>
      <c r="H697" s="282">
        <v>9</v>
      </c>
      <c r="I697" s="194">
        <v>850</v>
      </c>
      <c r="J697" s="194" t="s">
        <v>390</v>
      </c>
      <c r="K697" s="194" t="s">
        <v>465</v>
      </c>
      <c r="L697" s="283">
        <v>45170</v>
      </c>
      <c r="M697" s="285"/>
      <c r="N697" s="195" t="s">
        <v>141</v>
      </c>
      <c r="O697" s="466">
        <v>0</v>
      </c>
      <c r="P697" s="285">
        <v>45901</v>
      </c>
      <c r="Q697" s="285">
        <v>46022</v>
      </c>
      <c r="R697" s="288">
        <v>1</v>
      </c>
    </row>
    <row r="698" spans="1:18" hidden="1">
      <c r="A698" s="470">
        <v>5412</v>
      </c>
      <c r="B698" s="194"/>
      <c r="C698" s="282"/>
      <c r="D698" s="282"/>
      <c r="E698" s="282"/>
      <c r="F698" s="283"/>
      <c r="G698" s="282">
        <v>5</v>
      </c>
      <c r="H698" s="282">
        <v>6</v>
      </c>
      <c r="I698" s="470">
        <v>850</v>
      </c>
      <c r="J698" s="470" t="s">
        <v>390</v>
      </c>
      <c r="K698" s="470" t="s">
        <v>466</v>
      </c>
      <c r="L698" s="283">
        <v>45901</v>
      </c>
      <c r="M698" s="284"/>
      <c r="N698" s="194" t="s">
        <v>141</v>
      </c>
      <c r="O698" s="466">
        <v>0</v>
      </c>
      <c r="P698" s="285">
        <v>45901</v>
      </c>
      <c r="Q698" s="285">
        <v>46022</v>
      </c>
      <c r="R698" s="288">
        <v>1</v>
      </c>
    </row>
    <row r="699" spans="1:18" hidden="1">
      <c r="A699" s="470">
        <v>5412</v>
      </c>
      <c r="B699" s="194"/>
      <c r="C699" s="282"/>
      <c r="D699" s="282"/>
      <c r="E699" s="282"/>
      <c r="F699" s="283"/>
      <c r="G699" s="282">
        <v>5</v>
      </c>
      <c r="H699" s="282">
        <v>6</v>
      </c>
      <c r="I699" s="470">
        <v>850</v>
      </c>
      <c r="J699" s="470" t="s">
        <v>390</v>
      </c>
      <c r="K699" s="470" t="s">
        <v>466</v>
      </c>
      <c r="L699" s="283">
        <v>45901</v>
      </c>
      <c r="M699" s="281"/>
      <c r="N699" s="194" t="s">
        <v>141</v>
      </c>
      <c r="O699" s="466">
        <v>0</v>
      </c>
      <c r="P699" s="285">
        <v>45901</v>
      </c>
      <c r="Q699" s="285">
        <v>46022</v>
      </c>
      <c r="R699" s="288">
        <v>1</v>
      </c>
    </row>
    <row r="700" spans="1:18" hidden="1">
      <c r="A700" s="470">
        <v>5412</v>
      </c>
      <c r="B700" s="194"/>
      <c r="C700" s="282"/>
      <c r="D700" s="282"/>
      <c r="E700" s="282"/>
      <c r="F700" s="283"/>
      <c r="G700" s="282">
        <v>9</v>
      </c>
      <c r="H700" s="282">
        <v>10</v>
      </c>
      <c r="I700" s="470">
        <v>850</v>
      </c>
      <c r="J700" s="470" t="s">
        <v>390</v>
      </c>
      <c r="K700" s="470" t="s">
        <v>467</v>
      </c>
      <c r="L700" s="283">
        <v>44805</v>
      </c>
      <c r="M700" s="281"/>
      <c r="N700" s="194" t="s">
        <v>218</v>
      </c>
      <c r="O700" s="466">
        <v>0</v>
      </c>
      <c r="P700" s="285">
        <v>45901</v>
      </c>
      <c r="Q700" s="285">
        <v>46022</v>
      </c>
      <c r="R700" s="288">
        <v>1</v>
      </c>
    </row>
    <row r="701" spans="1:18" hidden="1">
      <c r="A701" s="194">
        <v>5412</v>
      </c>
      <c r="B701" s="194"/>
      <c r="C701" s="470"/>
      <c r="D701" s="470"/>
      <c r="E701" s="470"/>
      <c r="F701" s="283"/>
      <c r="G701" s="194">
        <v>7</v>
      </c>
      <c r="H701" s="282">
        <v>8</v>
      </c>
      <c r="I701" s="470">
        <v>850</v>
      </c>
      <c r="J701" s="470" t="s">
        <v>390</v>
      </c>
      <c r="K701" s="470" t="s">
        <v>467</v>
      </c>
      <c r="L701" s="283">
        <v>45536</v>
      </c>
      <c r="M701" s="471"/>
      <c r="N701" s="194" t="s">
        <v>218</v>
      </c>
      <c r="O701" s="466">
        <v>0</v>
      </c>
      <c r="P701" s="285">
        <v>45901</v>
      </c>
      <c r="Q701" s="285">
        <v>46022</v>
      </c>
      <c r="R701" s="288">
        <v>1</v>
      </c>
    </row>
    <row r="702" spans="1:18" hidden="1">
      <c r="A702" s="470">
        <v>5412</v>
      </c>
      <c r="B702" s="194"/>
      <c r="C702" s="282"/>
      <c r="D702" s="282"/>
      <c r="E702" s="282"/>
      <c r="F702" s="283"/>
      <c r="G702" s="479">
        <v>11</v>
      </c>
      <c r="H702" s="282">
        <v>12</v>
      </c>
      <c r="I702" s="470">
        <v>850</v>
      </c>
      <c r="J702" s="470" t="s">
        <v>390</v>
      </c>
      <c r="K702" s="470" t="s">
        <v>467</v>
      </c>
      <c r="L702" s="283">
        <v>44075</v>
      </c>
      <c r="M702" s="284">
        <v>45900</v>
      </c>
      <c r="N702" s="194" t="s">
        <v>218</v>
      </c>
      <c r="O702" s="466">
        <v>0</v>
      </c>
      <c r="P702" s="285" t="s">
        <v>399</v>
      </c>
      <c r="Q702" s="285" t="s">
        <v>399</v>
      </c>
      <c r="R702" s="288">
        <v>0</v>
      </c>
    </row>
    <row r="703" spans="1:18" hidden="1">
      <c r="A703" s="470">
        <v>5412</v>
      </c>
      <c r="B703" s="194"/>
      <c r="C703" s="282"/>
      <c r="D703" s="282"/>
      <c r="E703" s="282"/>
      <c r="F703" s="283"/>
      <c r="G703" s="479">
        <v>10</v>
      </c>
      <c r="H703" s="282">
        <v>11</v>
      </c>
      <c r="I703" s="470">
        <v>850</v>
      </c>
      <c r="J703" s="470" t="s">
        <v>390</v>
      </c>
      <c r="K703" s="470" t="s">
        <v>467</v>
      </c>
      <c r="L703" s="283">
        <v>44440</v>
      </c>
      <c r="M703" s="284"/>
      <c r="N703" s="194" t="s">
        <v>218</v>
      </c>
      <c r="O703" s="466">
        <v>0</v>
      </c>
      <c r="P703" s="285">
        <v>45901</v>
      </c>
      <c r="Q703" s="285">
        <v>46022</v>
      </c>
      <c r="R703" s="288">
        <v>1</v>
      </c>
    </row>
    <row r="704" spans="1:18" hidden="1">
      <c r="A704" s="470">
        <v>5412</v>
      </c>
      <c r="B704" s="194"/>
      <c r="C704" s="483"/>
      <c r="D704" s="483"/>
      <c r="E704" s="483"/>
      <c r="F704" s="480"/>
      <c r="G704" s="483">
        <v>7</v>
      </c>
      <c r="H704" s="282">
        <v>8</v>
      </c>
      <c r="I704" s="470">
        <v>850</v>
      </c>
      <c r="J704" s="470" t="s">
        <v>390</v>
      </c>
      <c r="K704" s="470" t="s">
        <v>467</v>
      </c>
      <c r="L704" s="283">
        <v>45536</v>
      </c>
      <c r="M704" s="471"/>
      <c r="N704" s="472" t="s">
        <v>218</v>
      </c>
      <c r="O704" s="466">
        <v>0</v>
      </c>
      <c r="P704" s="285">
        <v>45901</v>
      </c>
      <c r="Q704" s="285">
        <v>46022</v>
      </c>
      <c r="R704" s="288">
        <v>1</v>
      </c>
    </row>
    <row r="705" spans="1:18" hidden="1">
      <c r="A705" s="470">
        <v>5412</v>
      </c>
      <c r="B705" s="194"/>
      <c r="C705" s="483"/>
      <c r="D705" s="483"/>
      <c r="E705" s="483"/>
      <c r="F705" s="480"/>
      <c r="G705" s="483">
        <v>5</v>
      </c>
      <c r="H705" s="282">
        <v>6</v>
      </c>
      <c r="I705" s="470">
        <v>850</v>
      </c>
      <c r="J705" s="470" t="s">
        <v>390</v>
      </c>
      <c r="K705" s="470" t="s">
        <v>466</v>
      </c>
      <c r="L705" s="283">
        <v>45901</v>
      </c>
      <c r="M705" s="471"/>
      <c r="N705" s="472" t="s">
        <v>141</v>
      </c>
      <c r="O705" s="466">
        <v>0</v>
      </c>
      <c r="P705" s="285">
        <v>45901</v>
      </c>
      <c r="Q705" s="285">
        <v>46022</v>
      </c>
      <c r="R705" s="288">
        <v>1</v>
      </c>
    </row>
    <row r="706" spans="1:18" hidden="1">
      <c r="A706" s="470">
        <v>5412</v>
      </c>
      <c r="B706" s="194"/>
      <c r="C706" s="483"/>
      <c r="D706" s="483"/>
      <c r="E706" s="483"/>
      <c r="F706" s="480"/>
      <c r="G706" s="483">
        <v>9</v>
      </c>
      <c r="H706" s="282">
        <v>10</v>
      </c>
      <c r="I706" s="470">
        <v>850</v>
      </c>
      <c r="J706" s="470" t="s">
        <v>390</v>
      </c>
      <c r="K706" s="470" t="s">
        <v>467</v>
      </c>
      <c r="L706" s="283">
        <v>44805</v>
      </c>
      <c r="M706" s="471"/>
      <c r="N706" s="472" t="s">
        <v>218</v>
      </c>
      <c r="O706" s="466">
        <v>0</v>
      </c>
      <c r="P706" s="285">
        <v>45901</v>
      </c>
      <c r="Q706" s="285">
        <v>46022</v>
      </c>
      <c r="R706" s="288">
        <v>1</v>
      </c>
    </row>
    <row r="707" spans="1:18" hidden="1">
      <c r="A707" s="470">
        <v>5412</v>
      </c>
      <c r="B707" s="194"/>
      <c r="C707" s="483"/>
      <c r="D707" s="483"/>
      <c r="E707" s="483"/>
      <c r="F707" s="480"/>
      <c r="G707" s="483">
        <v>8</v>
      </c>
      <c r="H707" s="282">
        <v>9</v>
      </c>
      <c r="I707" s="470">
        <v>850</v>
      </c>
      <c r="J707" s="470" t="s">
        <v>390</v>
      </c>
      <c r="K707" s="470" t="s">
        <v>467</v>
      </c>
      <c r="L707" s="283">
        <v>45901</v>
      </c>
      <c r="M707" s="281"/>
      <c r="N707" s="472" t="s">
        <v>218</v>
      </c>
      <c r="O707" s="466">
        <v>0</v>
      </c>
      <c r="P707" s="285">
        <v>45901</v>
      </c>
      <c r="Q707" s="285">
        <v>46022</v>
      </c>
      <c r="R707" s="288">
        <v>1</v>
      </c>
    </row>
    <row r="708" spans="1:18" hidden="1">
      <c r="A708" s="470">
        <v>5412</v>
      </c>
      <c r="B708" s="194"/>
      <c r="C708" s="483"/>
      <c r="D708" s="483"/>
      <c r="E708" s="483"/>
      <c r="F708" s="480"/>
      <c r="G708" s="483">
        <v>10</v>
      </c>
      <c r="H708" s="282">
        <v>11</v>
      </c>
      <c r="I708" s="470">
        <v>850</v>
      </c>
      <c r="J708" s="470" t="s">
        <v>390</v>
      </c>
      <c r="K708" s="470" t="s">
        <v>467</v>
      </c>
      <c r="L708" s="283">
        <v>44440</v>
      </c>
      <c r="M708" s="281"/>
      <c r="N708" s="472" t="s">
        <v>218</v>
      </c>
      <c r="O708" s="466">
        <v>0</v>
      </c>
      <c r="P708" s="285">
        <v>45901</v>
      </c>
      <c r="Q708" s="285">
        <v>46022</v>
      </c>
      <c r="R708" s="288">
        <v>1</v>
      </c>
    </row>
    <row r="709" spans="1:18" hidden="1">
      <c r="A709" s="470">
        <v>5412</v>
      </c>
      <c r="B709" s="194"/>
      <c r="C709" s="483"/>
      <c r="D709" s="483"/>
      <c r="E709" s="483"/>
      <c r="F709" s="480"/>
      <c r="G709" s="483">
        <v>10</v>
      </c>
      <c r="H709" s="282">
        <v>11</v>
      </c>
      <c r="I709" s="470">
        <v>850</v>
      </c>
      <c r="J709" s="470" t="s">
        <v>390</v>
      </c>
      <c r="K709" s="470" t="s">
        <v>467</v>
      </c>
      <c r="L709" s="283">
        <v>44440</v>
      </c>
      <c r="M709" s="281"/>
      <c r="N709" s="472" t="s">
        <v>218</v>
      </c>
      <c r="O709" s="466">
        <v>0</v>
      </c>
      <c r="P709" s="285">
        <v>45901</v>
      </c>
      <c r="Q709" s="285">
        <v>46022</v>
      </c>
      <c r="R709" s="288">
        <v>1</v>
      </c>
    </row>
    <row r="710" spans="1:18" hidden="1">
      <c r="A710" s="470">
        <v>5412</v>
      </c>
      <c r="B710" s="194"/>
      <c r="C710" s="282"/>
      <c r="D710" s="282"/>
      <c r="E710" s="282"/>
      <c r="F710" s="283"/>
      <c r="G710" s="282">
        <v>11</v>
      </c>
      <c r="H710" s="282">
        <v>12</v>
      </c>
      <c r="I710" s="470">
        <v>850</v>
      </c>
      <c r="J710" s="470" t="s">
        <v>390</v>
      </c>
      <c r="K710" s="470" t="s">
        <v>467</v>
      </c>
      <c r="L710" s="284">
        <v>44075</v>
      </c>
      <c r="M710" s="284">
        <v>45900</v>
      </c>
      <c r="N710" s="472" t="s">
        <v>218</v>
      </c>
      <c r="O710" s="466">
        <v>0</v>
      </c>
      <c r="P710" s="285" t="s">
        <v>399</v>
      </c>
      <c r="Q710" s="285" t="s">
        <v>399</v>
      </c>
      <c r="R710" s="288">
        <v>0</v>
      </c>
    </row>
    <row r="711" spans="1:18" hidden="1">
      <c r="A711" s="470">
        <v>5412</v>
      </c>
      <c r="B711" s="194"/>
      <c r="C711" s="282"/>
      <c r="D711" s="282"/>
      <c r="E711" s="282"/>
      <c r="F711" s="283"/>
      <c r="G711" s="282">
        <v>11</v>
      </c>
      <c r="H711" s="282">
        <v>12</v>
      </c>
      <c r="I711" s="470">
        <v>850</v>
      </c>
      <c r="J711" s="470" t="s">
        <v>390</v>
      </c>
      <c r="K711" s="470" t="s">
        <v>467</v>
      </c>
      <c r="L711" s="284">
        <v>44075</v>
      </c>
      <c r="M711" s="284">
        <v>45900</v>
      </c>
      <c r="N711" s="472" t="s">
        <v>218</v>
      </c>
      <c r="O711" s="466">
        <v>0</v>
      </c>
      <c r="P711" s="285" t="s">
        <v>399</v>
      </c>
      <c r="Q711" s="285" t="s">
        <v>399</v>
      </c>
      <c r="R711" s="288">
        <v>0</v>
      </c>
    </row>
    <row r="712" spans="1:18" hidden="1">
      <c r="A712" s="470">
        <v>5412</v>
      </c>
      <c r="B712" s="194"/>
      <c r="C712" s="282"/>
      <c r="D712" s="282"/>
      <c r="E712" s="282"/>
      <c r="F712" s="283"/>
      <c r="G712" s="282">
        <v>9</v>
      </c>
      <c r="H712" s="282">
        <v>10</v>
      </c>
      <c r="I712" s="470">
        <v>850</v>
      </c>
      <c r="J712" s="470" t="s">
        <v>390</v>
      </c>
      <c r="K712" s="470" t="s">
        <v>467</v>
      </c>
      <c r="L712" s="283">
        <v>44805</v>
      </c>
      <c r="M712" s="284"/>
      <c r="N712" s="472" t="s">
        <v>218</v>
      </c>
      <c r="O712" s="466">
        <v>0</v>
      </c>
      <c r="P712" s="285">
        <v>45901</v>
      </c>
      <c r="Q712" s="285">
        <v>46022</v>
      </c>
      <c r="R712" s="288">
        <v>1</v>
      </c>
    </row>
    <row r="713" spans="1:18" hidden="1">
      <c r="A713" s="470">
        <v>5412</v>
      </c>
      <c r="B713" s="194"/>
      <c r="C713" s="470"/>
      <c r="D713" s="470"/>
      <c r="E713" s="470"/>
      <c r="F713" s="283"/>
      <c r="G713" s="470">
        <v>11</v>
      </c>
      <c r="H713" s="282">
        <v>12</v>
      </c>
      <c r="I713" s="470">
        <v>850</v>
      </c>
      <c r="J713" s="470" t="s">
        <v>390</v>
      </c>
      <c r="K713" s="470" t="s">
        <v>467</v>
      </c>
      <c r="L713" s="283">
        <v>44440</v>
      </c>
      <c r="M713" s="281">
        <v>45900</v>
      </c>
      <c r="N713" s="472" t="s">
        <v>218</v>
      </c>
      <c r="O713" s="466">
        <v>0</v>
      </c>
      <c r="P713" s="285" t="s">
        <v>399</v>
      </c>
      <c r="Q713" s="285" t="s">
        <v>399</v>
      </c>
      <c r="R713" s="288">
        <v>0</v>
      </c>
    </row>
    <row r="714" spans="1:18" hidden="1">
      <c r="A714" s="470">
        <v>5416</v>
      </c>
      <c r="B714" s="194"/>
      <c r="C714" s="483"/>
      <c r="D714" s="483"/>
      <c r="E714" s="483"/>
      <c r="F714" s="480"/>
      <c r="G714" s="483">
        <v>7</v>
      </c>
      <c r="H714" s="282">
        <v>8</v>
      </c>
      <c r="I714" s="470">
        <v>850</v>
      </c>
      <c r="J714" s="470" t="s">
        <v>390</v>
      </c>
      <c r="K714" s="470" t="s">
        <v>468</v>
      </c>
      <c r="L714" s="283">
        <v>45551</v>
      </c>
      <c r="M714" s="471"/>
      <c r="N714" s="472" t="s">
        <v>130</v>
      </c>
      <c r="O714" s="466">
        <v>0</v>
      </c>
      <c r="P714" s="285">
        <v>45901</v>
      </c>
      <c r="Q714" s="285">
        <v>46022</v>
      </c>
      <c r="R714" s="288">
        <v>1</v>
      </c>
    </row>
    <row r="715" spans="1:18" hidden="1">
      <c r="A715" s="470">
        <v>5416</v>
      </c>
      <c r="B715" s="194"/>
      <c r="C715" s="483"/>
      <c r="D715" s="483"/>
      <c r="E715" s="483"/>
      <c r="F715" s="480"/>
      <c r="G715" s="483">
        <v>7</v>
      </c>
      <c r="H715" s="282">
        <v>8</v>
      </c>
      <c r="I715" s="470">
        <v>850</v>
      </c>
      <c r="J715" s="470" t="s">
        <v>390</v>
      </c>
      <c r="K715" s="470" t="s">
        <v>468</v>
      </c>
      <c r="L715" s="283">
        <v>45536</v>
      </c>
      <c r="M715" s="471"/>
      <c r="N715" s="472" t="s">
        <v>130</v>
      </c>
      <c r="O715" s="466">
        <v>0</v>
      </c>
      <c r="P715" s="285">
        <v>45901</v>
      </c>
      <c r="Q715" s="285">
        <v>46022</v>
      </c>
      <c r="R715" s="288">
        <v>1</v>
      </c>
    </row>
    <row r="716" spans="1:18" hidden="1">
      <c r="A716" s="470">
        <v>5416</v>
      </c>
      <c r="B716" s="194"/>
      <c r="C716" s="483"/>
      <c r="D716" s="483"/>
      <c r="E716" s="483"/>
      <c r="F716" s="480"/>
      <c r="G716" s="483">
        <v>8</v>
      </c>
      <c r="H716" s="282">
        <v>9</v>
      </c>
      <c r="I716" s="470">
        <v>850</v>
      </c>
      <c r="J716" s="470" t="s">
        <v>390</v>
      </c>
      <c r="K716" s="470" t="s">
        <v>468</v>
      </c>
      <c r="L716" s="283">
        <v>45536</v>
      </c>
      <c r="M716" s="471"/>
      <c r="N716" s="472" t="s">
        <v>130</v>
      </c>
      <c r="O716" s="466">
        <v>0</v>
      </c>
      <c r="P716" s="285">
        <v>45901</v>
      </c>
      <c r="Q716" s="285">
        <v>46022</v>
      </c>
      <c r="R716" s="288">
        <v>1</v>
      </c>
    </row>
    <row r="717" spans="1:18" hidden="1">
      <c r="A717" s="470">
        <v>5416</v>
      </c>
      <c r="B717" s="194"/>
      <c r="C717" s="483"/>
      <c r="D717" s="483"/>
      <c r="E717" s="483"/>
      <c r="F717" s="480"/>
      <c r="G717" s="483">
        <v>7</v>
      </c>
      <c r="H717" s="282">
        <v>8</v>
      </c>
      <c r="I717" s="470">
        <v>850</v>
      </c>
      <c r="J717" s="470" t="s">
        <v>390</v>
      </c>
      <c r="K717" s="470" t="s">
        <v>468</v>
      </c>
      <c r="L717" s="283">
        <v>45572</v>
      </c>
      <c r="M717" s="471"/>
      <c r="N717" s="287" t="s">
        <v>130</v>
      </c>
      <c r="O717" s="466">
        <v>0</v>
      </c>
      <c r="P717" s="285">
        <v>45901</v>
      </c>
      <c r="Q717" s="285">
        <v>46022</v>
      </c>
      <c r="R717" s="288">
        <v>1</v>
      </c>
    </row>
    <row r="718" spans="1:18" hidden="1">
      <c r="A718" s="194">
        <v>5416</v>
      </c>
      <c r="B718" s="194"/>
      <c r="C718" s="194"/>
      <c r="D718" s="194"/>
      <c r="E718" s="194"/>
      <c r="F718" s="283"/>
      <c r="G718" s="194">
        <v>7</v>
      </c>
      <c r="H718" s="282">
        <v>8</v>
      </c>
      <c r="I718" s="194">
        <v>850</v>
      </c>
      <c r="J718" s="194" t="s">
        <v>390</v>
      </c>
      <c r="K718" s="470" t="s">
        <v>468</v>
      </c>
      <c r="L718" s="283">
        <v>45560</v>
      </c>
      <c r="M718" s="281"/>
      <c r="N718" s="467" t="s">
        <v>130</v>
      </c>
      <c r="O718" s="466">
        <v>0</v>
      </c>
      <c r="P718" s="285">
        <v>45901</v>
      </c>
      <c r="Q718" s="285">
        <v>46022</v>
      </c>
      <c r="R718" s="288">
        <v>1</v>
      </c>
    </row>
    <row r="719" spans="1:18">
      <c r="A719" s="470">
        <v>2005</v>
      </c>
      <c r="B719" s="194"/>
      <c r="C719" s="483"/>
      <c r="D719" s="483"/>
      <c r="E719" s="483"/>
      <c r="F719" s="480"/>
      <c r="G719" s="483">
        <v>2</v>
      </c>
      <c r="H719" s="282">
        <v>3</v>
      </c>
      <c r="I719" s="470">
        <v>839</v>
      </c>
      <c r="J719" s="470" t="s">
        <v>469</v>
      </c>
      <c r="K719" s="470" t="s">
        <v>391</v>
      </c>
      <c r="L719" s="283">
        <v>45210</v>
      </c>
      <c r="M719" s="471">
        <v>45900</v>
      </c>
      <c r="N719" s="287" t="s">
        <v>213</v>
      </c>
      <c r="O719" s="466">
        <v>0</v>
      </c>
      <c r="P719" s="285" t="s">
        <v>399</v>
      </c>
      <c r="Q719" s="285" t="s">
        <v>399</v>
      </c>
      <c r="R719" s="288">
        <v>0</v>
      </c>
    </row>
    <row r="720" spans="1:18" hidden="1">
      <c r="A720" s="282">
        <v>3124</v>
      </c>
      <c r="B720" s="194"/>
      <c r="C720" s="479"/>
      <c r="D720" s="479"/>
      <c r="E720" s="479"/>
      <c r="F720" s="480"/>
      <c r="G720" s="479">
        <v>4</v>
      </c>
      <c r="H720" s="282">
        <v>5</v>
      </c>
      <c r="I720" s="282">
        <v>839</v>
      </c>
      <c r="J720" s="282" t="s">
        <v>469</v>
      </c>
      <c r="K720" s="470" t="s">
        <v>438</v>
      </c>
      <c r="L720" s="283">
        <v>45170</v>
      </c>
      <c r="M720" s="284"/>
      <c r="N720" s="287" t="s">
        <v>130</v>
      </c>
      <c r="O720" s="466">
        <v>0</v>
      </c>
      <c r="P720" s="285">
        <v>45901</v>
      </c>
      <c r="Q720" s="285">
        <v>46022</v>
      </c>
      <c r="R720" s="288">
        <v>1</v>
      </c>
    </row>
    <row r="721" spans="1:18" hidden="1">
      <c r="A721" s="470">
        <v>3101</v>
      </c>
      <c r="B721" s="194"/>
      <c r="C721" s="470"/>
      <c r="D721" s="470"/>
      <c r="E721" s="470"/>
      <c r="F721" s="283"/>
      <c r="G721" s="194">
        <v>5</v>
      </c>
      <c r="H721" s="282">
        <v>6</v>
      </c>
      <c r="I721" s="470">
        <v>851</v>
      </c>
      <c r="J721" s="470" t="s">
        <v>433</v>
      </c>
      <c r="K721" s="470" t="s">
        <v>437</v>
      </c>
      <c r="L721" s="283">
        <v>45614</v>
      </c>
      <c r="M721" s="285"/>
      <c r="N721" s="467" t="s">
        <v>215</v>
      </c>
      <c r="O721" s="466" t="s">
        <v>215</v>
      </c>
      <c r="P721" s="285">
        <v>45901</v>
      </c>
      <c r="Q721" s="285">
        <v>46022</v>
      </c>
      <c r="R721" s="288">
        <v>1</v>
      </c>
    </row>
    <row r="722" spans="1:18" hidden="1">
      <c r="A722" s="194">
        <v>3404</v>
      </c>
      <c r="B722" s="194"/>
      <c r="C722" s="194"/>
      <c r="D722" s="194"/>
      <c r="E722" s="194"/>
      <c r="F722" s="283"/>
      <c r="G722" s="194">
        <v>0</v>
      </c>
      <c r="H722" s="282">
        <v>1</v>
      </c>
      <c r="I722" s="194">
        <v>851</v>
      </c>
      <c r="J722" s="194" t="s">
        <v>433</v>
      </c>
      <c r="K722" s="194" t="s">
        <v>439</v>
      </c>
      <c r="L722" s="283">
        <v>45536</v>
      </c>
      <c r="M722" s="285"/>
      <c r="N722" s="195" t="s">
        <v>215</v>
      </c>
      <c r="O722" s="466" t="s">
        <v>215</v>
      </c>
      <c r="P722" s="285">
        <v>45901</v>
      </c>
      <c r="Q722" s="285">
        <v>46022</v>
      </c>
      <c r="R722" s="288">
        <v>1</v>
      </c>
    </row>
    <row r="723" spans="1:18" hidden="1">
      <c r="A723" s="194">
        <v>2347</v>
      </c>
      <c r="B723" s="194"/>
      <c r="C723" s="194"/>
      <c r="D723" s="194"/>
      <c r="E723" s="194"/>
      <c r="F723" s="283"/>
      <c r="G723" s="194">
        <v>2</v>
      </c>
      <c r="H723" s="282">
        <v>3</v>
      </c>
      <c r="I723" s="194">
        <v>852</v>
      </c>
      <c r="J723" s="194" t="s">
        <v>470</v>
      </c>
      <c r="K723" s="194" t="s">
        <v>423</v>
      </c>
      <c r="L723" s="283">
        <v>45170</v>
      </c>
      <c r="M723" s="285"/>
      <c r="N723" s="195" t="s">
        <v>214</v>
      </c>
      <c r="O723" s="466" t="s">
        <v>214</v>
      </c>
      <c r="P723" s="285">
        <v>45901</v>
      </c>
      <c r="Q723" s="285">
        <v>46022</v>
      </c>
      <c r="R723" s="288">
        <v>1</v>
      </c>
    </row>
    <row r="724" spans="1:18" hidden="1">
      <c r="A724" s="194">
        <v>2347</v>
      </c>
      <c r="B724" s="194"/>
      <c r="C724" s="194"/>
      <c r="D724" s="194"/>
      <c r="E724" s="194"/>
      <c r="F724" s="283"/>
      <c r="G724" s="483">
        <v>6</v>
      </c>
      <c r="H724" s="282">
        <v>7</v>
      </c>
      <c r="I724" s="194">
        <v>852</v>
      </c>
      <c r="J724" s="194" t="s">
        <v>470</v>
      </c>
      <c r="K724" s="194" t="s">
        <v>423</v>
      </c>
      <c r="L724" s="283">
        <v>45017</v>
      </c>
      <c r="M724" s="471">
        <v>45900</v>
      </c>
      <c r="N724" s="195" t="s">
        <v>214</v>
      </c>
      <c r="O724" s="466">
        <v>0</v>
      </c>
      <c r="P724" s="285" t="s">
        <v>399</v>
      </c>
      <c r="Q724" s="285" t="s">
        <v>399</v>
      </c>
      <c r="R724" s="288">
        <v>0</v>
      </c>
    </row>
    <row r="725" spans="1:18" hidden="1">
      <c r="A725" s="470">
        <v>2347</v>
      </c>
      <c r="B725" s="194"/>
      <c r="C725" s="470"/>
      <c r="D725" s="470"/>
      <c r="E725" s="470"/>
      <c r="F725" s="283"/>
      <c r="G725" s="470">
        <v>-1</v>
      </c>
      <c r="H725" s="282">
        <v>0</v>
      </c>
      <c r="I725" s="470">
        <v>938</v>
      </c>
      <c r="J725" s="470" t="s">
        <v>414</v>
      </c>
      <c r="K725" s="470" t="s">
        <v>423</v>
      </c>
      <c r="L725" s="283">
        <v>45901</v>
      </c>
      <c r="M725" s="471"/>
      <c r="N725" s="195" t="s">
        <v>214</v>
      </c>
      <c r="O725" s="466">
        <v>0</v>
      </c>
      <c r="P725" s="285">
        <v>45901</v>
      </c>
      <c r="Q725" s="285">
        <v>46022</v>
      </c>
      <c r="R725" s="288">
        <v>1</v>
      </c>
    </row>
    <row r="726" spans="1:18" hidden="1">
      <c r="A726" s="470">
        <v>3101</v>
      </c>
      <c r="B726" s="194"/>
      <c r="C726" s="470"/>
      <c r="D726" s="470"/>
      <c r="E726" s="470"/>
      <c r="F726" s="283"/>
      <c r="G726" s="470">
        <v>0</v>
      </c>
      <c r="H726" s="282">
        <v>1</v>
      </c>
      <c r="I726" s="470">
        <v>852</v>
      </c>
      <c r="J726" s="470" t="s">
        <v>470</v>
      </c>
      <c r="K726" s="470" t="s">
        <v>437</v>
      </c>
      <c r="L726" s="283">
        <v>45541</v>
      </c>
      <c r="M726" s="281"/>
      <c r="N726" s="194" t="s">
        <v>215</v>
      </c>
      <c r="O726" s="466" t="s">
        <v>215</v>
      </c>
      <c r="P726" s="285">
        <v>45901</v>
      </c>
      <c r="Q726" s="285">
        <v>46022</v>
      </c>
      <c r="R726" s="288">
        <v>1</v>
      </c>
    </row>
    <row r="727" spans="1:18" hidden="1">
      <c r="A727" s="470">
        <v>4113</v>
      </c>
      <c r="B727" s="194"/>
      <c r="C727" s="470"/>
      <c r="D727" s="470"/>
      <c r="E727" s="470"/>
      <c r="F727" s="283"/>
      <c r="G727" s="470">
        <v>10</v>
      </c>
      <c r="H727" s="282">
        <v>11</v>
      </c>
      <c r="I727" s="470">
        <v>852</v>
      </c>
      <c r="J727" s="470" t="s">
        <v>470</v>
      </c>
      <c r="K727" s="470" t="s">
        <v>445</v>
      </c>
      <c r="L727" s="283">
        <v>44441</v>
      </c>
      <c r="M727" s="281"/>
      <c r="N727" s="194" t="s">
        <v>214</v>
      </c>
      <c r="O727" s="466">
        <v>0</v>
      </c>
      <c r="P727" s="285">
        <v>45901</v>
      </c>
      <c r="Q727" s="285">
        <v>46022</v>
      </c>
      <c r="R727" s="288">
        <v>1</v>
      </c>
    </row>
    <row r="728" spans="1:18" hidden="1">
      <c r="A728" s="470">
        <v>4113</v>
      </c>
      <c r="B728" s="194"/>
      <c r="C728" s="470"/>
      <c r="D728" s="470"/>
      <c r="E728" s="470"/>
      <c r="F728" s="283"/>
      <c r="G728" s="470">
        <v>10</v>
      </c>
      <c r="H728" s="282">
        <v>11</v>
      </c>
      <c r="I728" s="470">
        <v>852</v>
      </c>
      <c r="J728" s="470" t="s">
        <v>470</v>
      </c>
      <c r="K728" s="470" t="s">
        <v>445</v>
      </c>
      <c r="L728" s="283">
        <v>44441</v>
      </c>
      <c r="M728" s="281"/>
      <c r="N728" s="194" t="s">
        <v>214</v>
      </c>
      <c r="O728" s="466">
        <v>0</v>
      </c>
      <c r="P728" s="285">
        <v>45901</v>
      </c>
      <c r="Q728" s="285">
        <v>46022</v>
      </c>
      <c r="R728" s="288">
        <v>1</v>
      </c>
    </row>
    <row r="729" spans="1:18" hidden="1">
      <c r="A729" s="194">
        <v>4113</v>
      </c>
      <c r="B729" s="194"/>
      <c r="C729" s="194"/>
      <c r="D729" s="194"/>
      <c r="E729" s="194"/>
      <c r="F729" s="283"/>
      <c r="G729" s="194">
        <v>7</v>
      </c>
      <c r="H729" s="282">
        <v>8</v>
      </c>
      <c r="I729" s="194">
        <v>852</v>
      </c>
      <c r="J729" s="194" t="s">
        <v>470</v>
      </c>
      <c r="K729" s="194" t="s">
        <v>445</v>
      </c>
      <c r="L729" s="283">
        <v>45536</v>
      </c>
      <c r="M729" s="285"/>
      <c r="N729" s="194" t="s">
        <v>214</v>
      </c>
      <c r="O729" s="466">
        <v>0</v>
      </c>
      <c r="P729" s="285">
        <v>45901</v>
      </c>
      <c r="Q729" s="285">
        <v>46022</v>
      </c>
      <c r="R729" s="288">
        <v>1</v>
      </c>
    </row>
    <row r="730" spans="1:18" hidden="1">
      <c r="A730" s="194">
        <v>4113</v>
      </c>
      <c r="B730" s="194"/>
      <c r="C730" s="194"/>
      <c r="D730" s="194"/>
      <c r="E730" s="194"/>
      <c r="F730" s="283"/>
      <c r="G730" s="194">
        <v>7</v>
      </c>
      <c r="H730" s="282">
        <v>8</v>
      </c>
      <c r="I730" s="194">
        <v>852</v>
      </c>
      <c r="J730" s="194" t="s">
        <v>470</v>
      </c>
      <c r="K730" s="194" t="s">
        <v>445</v>
      </c>
      <c r="L730" s="283">
        <v>45536</v>
      </c>
      <c r="M730" s="285"/>
      <c r="N730" s="194" t="s">
        <v>214</v>
      </c>
      <c r="O730" s="466">
        <v>0</v>
      </c>
      <c r="P730" s="285">
        <v>45901</v>
      </c>
      <c r="Q730" s="285">
        <v>46022</v>
      </c>
      <c r="R730" s="288">
        <v>1</v>
      </c>
    </row>
    <row r="731" spans="1:18" hidden="1">
      <c r="A731" s="194">
        <v>4113</v>
      </c>
      <c r="B731" s="194"/>
      <c r="C731" s="194"/>
      <c r="D731" s="194"/>
      <c r="E731" s="194"/>
      <c r="F731" s="283"/>
      <c r="G731" s="194">
        <v>10</v>
      </c>
      <c r="H731" s="282">
        <v>11</v>
      </c>
      <c r="I731" s="194">
        <v>852</v>
      </c>
      <c r="J731" s="194" t="s">
        <v>470</v>
      </c>
      <c r="K731" s="194" t="s">
        <v>445</v>
      </c>
      <c r="L731" s="283">
        <v>44441</v>
      </c>
      <c r="M731" s="285"/>
      <c r="N731" s="194" t="s">
        <v>214</v>
      </c>
      <c r="O731" s="466">
        <v>0</v>
      </c>
      <c r="P731" s="285">
        <v>45901</v>
      </c>
      <c r="Q731" s="285">
        <v>46022</v>
      </c>
      <c r="R731" s="288">
        <v>1</v>
      </c>
    </row>
    <row r="732" spans="1:18" hidden="1">
      <c r="A732" s="194">
        <v>4113</v>
      </c>
      <c r="B732" s="194"/>
      <c r="C732" s="194"/>
      <c r="D732" s="194"/>
      <c r="E732" s="194"/>
      <c r="F732" s="283"/>
      <c r="G732" s="194">
        <v>11</v>
      </c>
      <c r="H732" s="282">
        <v>12</v>
      </c>
      <c r="I732" s="194">
        <v>852</v>
      </c>
      <c r="J732" s="194" t="s">
        <v>470</v>
      </c>
      <c r="K732" s="194" t="s">
        <v>445</v>
      </c>
      <c r="L732" s="283">
        <v>44075</v>
      </c>
      <c r="M732" s="285">
        <v>45900</v>
      </c>
      <c r="N732" s="194" t="s">
        <v>214</v>
      </c>
      <c r="O732" s="466">
        <v>0</v>
      </c>
      <c r="P732" s="285" t="s">
        <v>399</v>
      </c>
      <c r="Q732" s="285" t="s">
        <v>399</v>
      </c>
      <c r="R732" s="288">
        <v>0</v>
      </c>
    </row>
    <row r="733" spans="1:18" hidden="1">
      <c r="A733" s="470">
        <v>4128</v>
      </c>
      <c r="B733" s="194"/>
      <c r="C733" s="470"/>
      <c r="D733" s="194"/>
      <c r="E733" s="194"/>
      <c r="F733" s="281"/>
      <c r="G733" s="194">
        <v>11</v>
      </c>
      <c r="H733" s="282">
        <v>12</v>
      </c>
      <c r="I733" s="470">
        <v>852</v>
      </c>
      <c r="J733" s="470" t="s">
        <v>470</v>
      </c>
      <c r="K733" s="194" t="s">
        <v>446</v>
      </c>
      <c r="L733" s="283">
        <v>44075</v>
      </c>
      <c r="M733" s="285">
        <v>45900</v>
      </c>
      <c r="N733" s="485" t="s">
        <v>220</v>
      </c>
      <c r="O733" s="466">
        <v>0</v>
      </c>
      <c r="P733" s="285" t="s">
        <v>399</v>
      </c>
      <c r="Q733" s="285" t="s">
        <v>399</v>
      </c>
      <c r="R733" s="288">
        <v>0</v>
      </c>
    </row>
    <row r="734" spans="1:18" hidden="1">
      <c r="A734" s="470">
        <v>4113</v>
      </c>
      <c r="B734" s="194"/>
      <c r="C734" s="470"/>
      <c r="D734" s="194"/>
      <c r="E734" s="194"/>
      <c r="F734" s="281"/>
      <c r="G734" s="194">
        <v>9</v>
      </c>
      <c r="H734" s="282">
        <v>10</v>
      </c>
      <c r="I734" s="470">
        <v>865</v>
      </c>
      <c r="J734" s="470" t="s">
        <v>471</v>
      </c>
      <c r="K734" s="194" t="s">
        <v>445</v>
      </c>
      <c r="L734" s="283">
        <v>44805</v>
      </c>
      <c r="M734" s="285"/>
      <c r="N734" s="485" t="s">
        <v>214</v>
      </c>
      <c r="O734" s="466">
        <v>0</v>
      </c>
      <c r="P734" s="285">
        <v>45901</v>
      </c>
      <c r="Q734" s="285">
        <v>46022</v>
      </c>
      <c r="R734" s="288">
        <v>1</v>
      </c>
    </row>
    <row r="735" spans="1:18" hidden="1">
      <c r="A735" s="470">
        <v>2011</v>
      </c>
      <c r="B735" s="194"/>
      <c r="C735" s="470"/>
      <c r="D735" s="194"/>
      <c r="E735" s="194"/>
      <c r="F735" s="281"/>
      <c r="G735" s="194">
        <v>4</v>
      </c>
      <c r="H735" s="282">
        <v>5</v>
      </c>
      <c r="I735" s="470">
        <v>936</v>
      </c>
      <c r="J735" s="470" t="s">
        <v>472</v>
      </c>
      <c r="K735" s="194" t="s">
        <v>401</v>
      </c>
      <c r="L735" s="283">
        <v>44075</v>
      </c>
      <c r="M735" s="285"/>
      <c r="N735" s="485" t="s">
        <v>214</v>
      </c>
      <c r="O735" s="466">
        <v>0</v>
      </c>
      <c r="P735" s="285">
        <v>45901</v>
      </c>
      <c r="Q735" s="285">
        <v>46022</v>
      </c>
      <c r="R735" s="288">
        <v>1</v>
      </c>
    </row>
    <row r="736" spans="1:18" hidden="1">
      <c r="A736" s="470">
        <v>2531</v>
      </c>
      <c r="B736" s="194"/>
      <c r="C736" s="470"/>
      <c r="D736" s="194"/>
      <c r="E736" s="194"/>
      <c r="F736" s="281"/>
      <c r="G736" s="194">
        <v>5</v>
      </c>
      <c r="H736" s="282">
        <v>6</v>
      </c>
      <c r="I736" s="470">
        <v>936</v>
      </c>
      <c r="J736" s="470" t="s">
        <v>472</v>
      </c>
      <c r="K736" s="194" t="s">
        <v>426</v>
      </c>
      <c r="L736" s="283">
        <v>45072</v>
      </c>
      <c r="M736" s="285"/>
      <c r="N736" s="485" t="s">
        <v>143</v>
      </c>
      <c r="O736" s="466">
        <v>0</v>
      </c>
      <c r="P736" s="285">
        <v>45901</v>
      </c>
      <c r="Q736" s="285">
        <v>46022</v>
      </c>
      <c r="R736" s="288">
        <v>1</v>
      </c>
    </row>
    <row r="737" spans="1:18" hidden="1">
      <c r="A737" s="470">
        <v>2531</v>
      </c>
      <c r="B737" s="194"/>
      <c r="C737" s="470"/>
      <c r="D737" s="194"/>
      <c r="E737" s="194"/>
      <c r="F737" s="281"/>
      <c r="G737" s="194">
        <v>6</v>
      </c>
      <c r="H737" s="282">
        <v>7</v>
      </c>
      <c r="I737" s="470">
        <v>936</v>
      </c>
      <c r="J737" s="470" t="s">
        <v>472</v>
      </c>
      <c r="K737" s="194" t="s">
        <v>426</v>
      </c>
      <c r="L737" s="283">
        <v>44440</v>
      </c>
      <c r="M737" s="281">
        <v>45900</v>
      </c>
      <c r="N737" s="485" t="s">
        <v>143</v>
      </c>
      <c r="O737" s="466">
        <v>0</v>
      </c>
      <c r="P737" s="285" t="s">
        <v>399</v>
      </c>
      <c r="Q737" s="285" t="s">
        <v>399</v>
      </c>
      <c r="R737" s="288">
        <v>0</v>
      </c>
    </row>
    <row r="738" spans="1:18" hidden="1">
      <c r="A738" s="470">
        <v>4203</v>
      </c>
      <c r="B738" s="194"/>
      <c r="C738" s="470"/>
      <c r="D738" s="194"/>
      <c r="E738" s="194"/>
      <c r="F738" s="281"/>
      <c r="G738" s="194">
        <v>9</v>
      </c>
      <c r="H738" s="282">
        <v>10</v>
      </c>
      <c r="I738" s="470">
        <v>936</v>
      </c>
      <c r="J738" s="470" t="s">
        <v>472</v>
      </c>
      <c r="K738" s="194" t="s">
        <v>458</v>
      </c>
      <c r="L738" s="283">
        <v>44805</v>
      </c>
      <c r="M738" s="281"/>
      <c r="N738" s="485" t="s">
        <v>215</v>
      </c>
      <c r="O738" s="466">
        <v>0</v>
      </c>
      <c r="P738" s="285">
        <v>45901</v>
      </c>
      <c r="Q738" s="285">
        <v>46022</v>
      </c>
      <c r="R738" s="288">
        <v>1</v>
      </c>
    </row>
    <row r="739" spans="1:18" hidden="1">
      <c r="A739" s="470">
        <v>2127</v>
      </c>
      <c r="B739" s="194"/>
      <c r="C739" s="470"/>
      <c r="D739" s="470"/>
      <c r="E739" s="470"/>
      <c r="F739" s="283"/>
      <c r="G739" s="470">
        <v>3</v>
      </c>
      <c r="H739" s="282">
        <v>4</v>
      </c>
      <c r="I739" s="470">
        <v>938</v>
      </c>
      <c r="J739" s="470" t="s">
        <v>414</v>
      </c>
      <c r="K739" s="470" t="s">
        <v>417</v>
      </c>
      <c r="L739" s="283">
        <v>45536</v>
      </c>
      <c r="M739" s="281"/>
      <c r="N739" s="470" t="s">
        <v>143</v>
      </c>
      <c r="O739" s="466">
        <v>0</v>
      </c>
      <c r="P739" s="285">
        <v>45901</v>
      </c>
      <c r="Q739" s="285">
        <v>46022</v>
      </c>
      <c r="R739" s="288">
        <v>1</v>
      </c>
    </row>
    <row r="740" spans="1:18" hidden="1">
      <c r="A740" s="470">
        <v>2270</v>
      </c>
      <c r="K740" s="470" t="s">
        <v>473</v>
      </c>
      <c r="N740" s="470" t="s">
        <v>141</v>
      </c>
      <c r="R740" s="288">
        <v>0</v>
      </c>
    </row>
    <row r="741" spans="1:18" hidden="1">
      <c r="A741" s="470">
        <v>3197</v>
      </c>
      <c r="K741" s="470" t="s">
        <v>474</v>
      </c>
      <c r="N741" s="470" t="s">
        <v>130</v>
      </c>
      <c r="R741" s="288">
        <v>0</v>
      </c>
    </row>
    <row r="742" spans="1:18" hidden="1">
      <c r="A742" s="470">
        <v>3192</v>
      </c>
      <c r="K742" s="470" t="s">
        <v>475</v>
      </c>
      <c r="N742" s="470" t="s">
        <v>141</v>
      </c>
      <c r="R742" s="288">
        <v>0</v>
      </c>
    </row>
  </sheetData>
  <autoFilter ref="A3:R742" xr:uid="{DE0DAC4B-C076-482E-82FD-E9FD9B1884E1}">
    <filterColumn colId="0">
      <filters>
        <filter val="2005"/>
      </filters>
    </filterColumn>
  </autoFilter>
  <mergeCells count="4">
    <mergeCell ref="U3:X3"/>
    <mergeCell ref="AA3:AO3"/>
    <mergeCell ref="U26:X26"/>
    <mergeCell ref="AA66:AO66"/>
  </mergeCells>
  <conditionalFormatting sqref="A2">
    <cfRule type="containsText" dxfId="14" priority="75" operator="containsText" text="2055">
      <formula>NOT(ISERROR(SEARCH("2055",A2)))</formula>
    </cfRule>
  </conditionalFormatting>
  <conditionalFormatting sqref="A2:A3">
    <cfRule type="containsText" dxfId="13" priority="65" operator="containsText" text="2228">
      <formula>NOT(ISERROR(SEARCH("2228",A2)))</formula>
    </cfRule>
    <cfRule type="containsText" dxfId="12" priority="66" operator="containsText" text="2076">
      <formula>NOT(ISERROR(SEARCH("2076",A2)))</formula>
    </cfRule>
    <cfRule type="containsText" dxfId="11" priority="67" operator="containsText" text="2274">
      <formula>NOT(ISERROR(SEARCH("2274",A2)))</formula>
    </cfRule>
    <cfRule type="containsText" dxfId="10" priority="68" operator="containsText" text="2030">
      <formula>NOT(ISERROR(SEARCH("2030",A2)))</formula>
    </cfRule>
    <cfRule type="containsText" dxfId="9" priority="69" operator="containsText" text="2522">
      <formula>NOT(ISERROR(SEARCH("2522",A2)))</formula>
    </cfRule>
    <cfRule type="containsText" dxfId="8" priority="70" operator="containsText" text="2137">
      <formula>NOT(ISERROR(SEARCH("2137",A2)))</formula>
    </cfRule>
    <cfRule type="containsText" dxfId="7" priority="71" operator="containsText" text="3132">
      <formula>NOT(ISERROR(SEARCH("3132",A2)))</formula>
    </cfRule>
  </conditionalFormatting>
  <conditionalFormatting sqref="A3">
    <cfRule type="containsText" dxfId="6" priority="72" operator="containsText" text="2057">
      <formula>NOT(ISERROR(SEARCH("2057",A3)))</formula>
    </cfRule>
  </conditionalFormatting>
  <conditionalFormatting sqref="B3">
    <cfRule type="duplicateValues" dxfId="5" priority="73"/>
  </conditionalFormatting>
  <conditionalFormatting sqref="B4:B739">
    <cfRule type="duplicateValues" dxfId="4" priority="78"/>
  </conditionalFormatting>
  <conditionalFormatting sqref="C2">
    <cfRule type="duplicateValues" dxfId="3" priority="77"/>
  </conditionalFormatting>
  <conditionalFormatting sqref="C299">
    <cfRule type="duplicateValues" dxfId="2" priority="1"/>
  </conditionalFormatting>
  <conditionalFormatting sqref="D2">
    <cfRule type="duplicateValues" dxfId="1" priority="76"/>
  </conditionalFormatting>
  <pageMargins left="0.7" right="0.7" top="0.75" bottom="0.75" header="0.3" footer="0.3"/>
  <pageSetup paperSize="9" orientation="portrait" r:id="rId5"/>
  <legacyDrawing r:id="rId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09B29-2639-4FCE-B8E0-D33F8C45BFAD}">
  <sheetPr codeName="Sheet11">
    <tabColor theme="6" tint="0.59999389629810485"/>
  </sheetPr>
  <dimension ref="A1:Z124"/>
  <sheetViews>
    <sheetView workbookViewId="0">
      <selection activeCell="T87" sqref="T87"/>
    </sheetView>
  </sheetViews>
  <sheetFormatPr defaultRowHeight="15"/>
  <cols>
    <col min="1" max="4" width="9.140625" style="24"/>
    <col min="5" max="5" width="8" style="24" customWidth="1"/>
    <col min="6" max="8" width="9.140625" style="24"/>
    <col min="9" max="9" width="10.140625" style="24" bestFit="1" customWidth="1"/>
    <col min="10" max="10" width="9.140625" style="24"/>
    <col min="11" max="11" width="10.140625" style="24" bestFit="1" customWidth="1"/>
    <col min="12" max="12" width="10.140625" style="24" customWidth="1"/>
    <col min="13" max="13" width="9.140625" style="24"/>
    <col min="14" max="14" width="10.140625" style="24" bestFit="1" customWidth="1"/>
    <col min="15" max="15" width="9.5703125" style="24" bestFit="1" customWidth="1"/>
    <col min="16" max="16" width="9.140625" style="24"/>
    <col min="17" max="17" width="11.5703125" style="24" bestFit="1" customWidth="1"/>
    <col min="18" max="18" width="9.140625" style="24"/>
    <col min="19" max="19" width="11.85546875" style="24" customWidth="1"/>
    <col min="20" max="22" width="10.42578125" style="24" bestFit="1" customWidth="1"/>
    <col min="23" max="23" width="9.42578125" style="24" bestFit="1" customWidth="1"/>
    <col min="24" max="24" width="11.140625" style="24" customWidth="1"/>
    <col min="25" max="26" width="9.140625" style="24"/>
  </cols>
  <sheetData>
    <row r="1" spans="1:26">
      <c r="A1" s="102"/>
      <c r="B1" s="102"/>
      <c r="C1" s="102"/>
      <c r="D1" s="102"/>
      <c r="E1" s="102">
        <v>655.24999999999989</v>
      </c>
      <c r="F1" s="102"/>
      <c r="G1" s="102"/>
      <c r="H1" s="102"/>
      <c r="I1" s="151">
        <v>3931500</v>
      </c>
      <c r="J1" s="151">
        <v>312666.66666666669</v>
      </c>
      <c r="K1" s="151">
        <v>3161326.75</v>
      </c>
      <c r="L1" s="151">
        <v>1208223.1099999999</v>
      </c>
      <c r="M1" s="151"/>
      <c r="N1" s="151">
        <v>4369549.8599999994</v>
      </c>
      <c r="O1" s="151"/>
      <c r="P1" s="151">
        <v>36106</v>
      </c>
      <c r="Q1" s="151">
        <v>4405655.8599999994</v>
      </c>
      <c r="R1" s="102"/>
      <c r="S1" s="102"/>
      <c r="T1" s="102"/>
      <c r="U1" s="102"/>
      <c r="V1" s="102"/>
      <c r="W1" s="102"/>
      <c r="X1"/>
      <c r="Y1"/>
      <c r="Z1"/>
    </row>
    <row r="2" spans="1:26">
      <c r="A2" s="25">
        <v>1</v>
      </c>
      <c r="B2" s="25">
        <v>2</v>
      </c>
      <c r="C2" s="25">
        <v>3</v>
      </c>
      <c r="D2" s="25">
        <v>4</v>
      </c>
      <c r="E2" s="25">
        <v>5</v>
      </c>
      <c r="F2" s="25">
        <v>6</v>
      </c>
      <c r="G2" s="25">
        <v>7</v>
      </c>
      <c r="H2" s="25">
        <v>8</v>
      </c>
      <c r="I2" s="25">
        <v>9</v>
      </c>
      <c r="J2" s="25">
        <v>10</v>
      </c>
      <c r="K2" s="25">
        <v>11</v>
      </c>
      <c r="L2" s="25">
        <v>12</v>
      </c>
      <c r="M2" s="25">
        <v>13</v>
      </c>
      <c r="N2" s="25">
        <v>14</v>
      </c>
      <c r="O2" s="25">
        <v>15</v>
      </c>
      <c r="P2" s="25">
        <v>16</v>
      </c>
      <c r="Q2" s="25">
        <v>17</v>
      </c>
      <c r="R2" s="25"/>
      <c r="S2" s="25"/>
      <c r="T2" s="25"/>
      <c r="U2" s="25"/>
      <c r="V2" s="25"/>
      <c r="W2" s="25"/>
      <c r="X2"/>
      <c r="Y2"/>
      <c r="Z2"/>
    </row>
    <row r="3" spans="1:26" ht="15.75" thickBot="1">
      <c r="A3" s="25"/>
      <c r="B3" s="25"/>
      <c r="C3" s="25"/>
      <c r="D3" s="25"/>
      <c r="E3" s="25"/>
      <c r="F3" s="25"/>
      <c r="G3" s="25"/>
      <c r="H3" s="25"/>
      <c r="I3" s="26"/>
      <c r="J3" s="26"/>
      <c r="K3" s="26"/>
      <c r="L3" s="26"/>
      <c r="M3" s="26"/>
      <c r="N3" s="26"/>
      <c r="O3" s="26"/>
      <c r="P3" s="26"/>
      <c r="Q3" s="26"/>
      <c r="R3" s="25"/>
      <c r="S3" s="25"/>
      <c r="T3" s="25"/>
      <c r="U3" s="25"/>
      <c r="V3" s="25"/>
      <c r="W3" s="25"/>
      <c r="X3"/>
      <c r="Y3"/>
      <c r="Z3"/>
    </row>
    <row r="4" spans="1:26" ht="105.75" thickBot="1">
      <c r="A4" s="30" t="s">
        <v>110</v>
      </c>
      <c r="B4" s="141" t="s">
        <v>111</v>
      </c>
      <c r="C4" s="33" t="s">
        <v>112</v>
      </c>
      <c r="D4" s="33" t="s">
        <v>69</v>
      </c>
      <c r="E4" s="33" t="s">
        <v>113</v>
      </c>
      <c r="F4" s="33" t="s">
        <v>114</v>
      </c>
      <c r="G4" s="33" t="s">
        <v>90</v>
      </c>
      <c r="H4" s="293" t="s">
        <v>91</v>
      </c>
      <c r="I4" s="431" t="s">
        <v>115</v>
      </c>
      <c r="J4" s="430" t="s">
        <v>116</v>
      </c>
      <c r="K4" s="48" t="s">
        <v>118</v>
      </c>
      <c r="L4" s="49" t="s">
        <v>119</v>
      </c>
      <c r="M4" s="49" t="s">
        <v>76</v>
      </c>
      <c r="N4" s="52" t="s">
        <v>120</v>
      </c>
      <c r="O4" s="50" t="s">
        <v>121</v>
      </c>
      <c r="P4" s="47" t="s">
        <v>79</v>
      </c>
      <c r="Q4" s="31" t="s">
        <v>122</v>
      </c>
      <c r="R4" s="32"/>
      <c r="S4" s="423" t="s">
        <v>476</v>
      </c>
      <c r="T4" s="424" t="s">
        <v>127</v>
      </c>
      <c r="U4" s="425" t="s">
        <v>126</v>
      </c>
      <c r="V4" s="425" t="s">
        <v>477</v>
      </c>
      <c r="W4" s="426" t="s">
        <v>127</v>
      </c>
      <c r="X4" s="32" t="s">
        <v>478</v>
      </c>
      <c r="Y4" s="32"/>
      <c r="Z4" s="32" t="s">
        <v>129</v>
      </c>
    </row>
    <row r="5" spans="1:26">
      <c r="A5" s="152">
        <v>8502005</v>
      </c>
      <c r="B5" s="153" t="s">
        <v>0</v>
      </c>
      <c r="C5" s="153" t="s">
        <v>186</v>
      </c>
      <c r="D5" s="153" t="s">
        <v>212</v>
      </c>
      <c r="E5" s="154">
        <v>24</v>
      </c>
      <c r="F5" s="153" t="s">
        <v>213</v>
      </c>
      <c r="G5" s="153"/>
      <c r="H5" s="294"/>
      <c r="I5" s="155">
        <v>144000</v>
      </c>
      <c r="J5" s="156">
        <v>0</v>
      </c>
      <c r="K5" s="427">
        <v>63816</v>
      </c>
      <c r="L5" s="157">
        <v>0</v>
      </c>
      <c r="M5" s="157">
        <v>0</v>
      </c>
      <c r="N5" s="158">
        <v>63816</v>
      </c>
      <c r="O5" s="159">
        <v>2659</v>
      </c>
      <c r="P5" s="160">
        <v>0</v>
      </c>
      <c r="Q5" s="161">
        <v>63816</v>
      </c>
      <c r="R5" s="162"/>
      <c r="S5" s="255">
        <v>63816</v>
      </c>
      <c r="T5" s="305">
        <v>0</v>
      </c>
      <c r="U5" s="305">
        <v>2659</v>
      </c>
      <c r="V5" s="305">
        <v>2659</v>
      </c>
      <c r="W5" s="256">
        <v>0</v>
      </c>
      <c r="X5" s="446">
        <v>6670.08</v>
      </c>
      <c r="Y5" s="163"/>
      <c r="Z5" s="163">
        <v>0</v>
      </c>
    </row>
    <row r="6" spans="1:26">
      <c r="A6" s="164">
        <v>8502011</v>
      </c>
      <c r="B6" s="303" t="s">
        <v>1</v>
      </c>
      <c r="C6" s="147" t="s">
        <v>186</v>
      </c>
      <c r="D6" s="147" t="s">
        <v>212</v>
      </c>
      <c r="E6" s="165">
        <v>6</v>
      </c>
      <c r="F6" s="147" t="s">
        <v>214</v>
      </c>
      <c r="G6" s="147"/>
      <c r="H6" s="295"/>
      <c r="I6" s="166">
        <v>36000</v>
      </c>
      <c r="J6" s="432">
        <v>16000</v>
      </c>
      <c r="K6" s="428">
        <v>80148</v>
      </c>
      <c r="L6" s="157">
        <v>0</v>
      </c>
      <c r="M6" s="157">
        <v>0</v>
      </c>
      <c r="N6" s="304">
        <v>80148</v>
      </c>
      <c r="O6" s="159">
        <v>13358</v>
      </c>
      <c r="P6" s="160">
        <v>0</v>
      </c>
      <c r="Q6" s="167">
        <v>80148</v>
      </c>
      <c r="R6" s="162"/>
      <c r="S6" s="255">
        <v>80148</v>
      </c>
      <c r="T6" s="305">
        <v>0</v>
      </c>
      <c r="U6" s="305">
        <v>13358</v>
      </c>
      <c r="V6" s="305">
        <v>13358</v>
      </c>
      <c r="W6" s="256">
        <v>0</v>
      </c>
      <c r="X6" s="446">
        <v>3728.34</v>
      </c>
      <c r="Y6" s="163"/>
      <c r="Z6" s="163">
        <v>0</v>
      </c>
    </row>
    <row r="7" spans="1:26">
      <c r="A7" s="164">
        <v>8502013</v>
      </c>
      <c r="B7" s="306" t="s">
        <v>2</v>
      </c>
      <c r="C7" s="147" t="s">
        <v>186</v>
      </c>
      <c r="D7" s="147" t="s">
        <v>212</v>
      </c>
      <c r="E7" s="165">
        <v>28.000000000000004</v>
      </c>
      <c r="F7" s="147" t="s">
        <v>142</v>
      </c>
      <c r="G7" s="147" t="s">
        <v>143</v>
      </c>
      <c r="H7" s="295"/>
      <c r="I7" s="166">
        <v>168000.00000000003</v>
      </c>
      <c r="J7" s="432">
        <v>0</v>
      </c>
      <c r="K7" s="428">
        <v>80384</v>
      </c>
      <c r="L7" s="157">
        <v>16548.000000000004</v>
      </c>
      <c r="M7" s="157">
        <v>0</v>
      </c>
      <c r="N7" s="304">
        <v>96932</v>
      </c>
      <c r="O7" s="159">
        <v>3461.8571428571422</v>
      </c>
      <c r="P7" s="160">
        <v>0</v>
      </c>
      <c r="Q7" s="167">
        <v>96932</v>
      </c>
      <c r="R7" s="162"/>
      <c r="S7" s="255">
        <v>96932</v>
      </c>
      <c r="T7" s="305">
        <v>0</v>
      </c>
      <c r="U7" s="305">
        <v>3461.8571428571422</v>
      </c>
      <c r="V7" s="305">
        <v>3461.8571428571422</v>
      </c>
      <c r="W7" s="256">
        <v>0</v>
      </c>
      <c r="X7" s="446">
        <v>9440.48</v>
      </c>
      <c r="Y7" s="163"/>
      <c r="Z7" s="163">
        <v>0</v>
      </c>
    </row>
    <row r="8" spans="1:26">
      <c r="A8" s="164">
        <v>8502018</v>
      </c>
      <c r="B8" s="306" t="s">
        <v>3</v>
      </c>
      <c r="C8" s="147" t="s">
        <v>186</v>
      </c>
      <c r="D8" s="147" t="s">
        <v>212</v>
      </c>
      <c r="E8" s="165">
        <v>14.000000000000002</v>
      </c>
      <c r="F8" s="147" t="s">
        <v>142</v>
      </c>
      <c r="G8" s="147"/>
      <c r="H8" s="295"/>
      <c r="I8" s="166">
        <v>84000.000000000015</v>
      </c>
      <c r="J8" s="432">
        <v>0</v>
      </c>
      <c r="K8" s="428">
        <v>70336</v>
      </c>
      <c r="L8" s="157">
        <v>0</v>
      </c>
      <c r="M8" s="157">
        <v>0</v>
      </c>
      <c r="N8" s="304">
        <v>70336</v>
      </c>
      <c r="O8" s="159">
        <v>5023.9999999999991</v>
      </c>
      <c r="P8" s="160">
        <v>0</v>
      </c>
      <c r="Q8" s="167">
        <v>70336</v>
      </c>
      <c r="R8" s="162"/>
      <c r="S8" s="255">
        <v>70336</v>
      </c>
      <c r="T8" s="305">
        <v>0</v>
      </c>
      <c r="U8" s="305">
        <v>5023.9999999999991</v>
      </c>
      <c r="V8" s="305">
        <v>5023.9999999999991</v>
      </c>
      <c r="W8" s="256">
        <v>0</v>
      </c>
      <c r="X8" s="446">
        <v>4954.3200000000006</v>
      </c>
      <c r="Y8" s="163"/>
      <c r="Z8" s="163">
        <v>0</v>
      </c>
    </row>
    <row r="9" spans="1:26">
      <c r="A9" s="164">
        <v>8502024</v>
      </c>
      <c r="B9" s="306" t="s">
        <v>4</v>
      </c>
      <c r="C9" s="147" t="s">
        <v>188</v>
      </c>
      <c r="D9" s="147" t="s">
        <v>212</v>
      </c>
      <c r="E9" s="165">
        <v>0</v>
      </c>
      <c r="F9" s="147" t="s">
        <v>337</v>
      </c>
      <c r="G9" s="147"/>
      <c r="H9" s="295"/>
      <c r="I9" s="166">
        <v>0</v>
      </c>
      <c r="J9" s="432">
        <v>0</v>
      </c>
      <c r="K9" s="428">
        <v>0</v>
      </c>
      <c r="L9" s="157">
        <v>0</v>
      </c>
      <c r="M9" s="157">
        <v>0</v>
      </c>
      <c r="N9" s="304">
        <v>0</v>
      </c>
      <c r="O9" s="159">
        <v>0</v>
      </c>
      <c r="P9" s="160">
        <v>0</v>
      </c>
      <c r="Q9" s="167">
        <v>0</v>
      </c>
      <c r="R9" s="162"/>
      <c r="S9" s="255">
        <v>0</v>
      </c>
      <c r="T9" s="305">
        <v>0</v>
      </c>
      <c r="U9" s="305">
        <v>0</v>
      </c>
      <c r="V9" s="305">
        <v>0</v>
      </c>
      <c r="W9" s="256">
        <v>0</v>
      </c>
      <c r="X9" s="446">
        <v>0</v>
      </c>
      <c r="Y9" s="163"/>
      <c r="Z9" s="163" t="e">
        <v>#DIV/0!</v>
      </c>
    </row>
    <row r="10" spans="1:26">
      <c r="A10" s="164">
        <v>8502045</v>
      </c>
      <c r="B10" s="306" t="s">
        <v>144</v>
      </c>
      <c r="C10" s="147" t="s">
        <v>188</v>
      </c>
      <c r="D10" s="147" t="s">
        <v>212</v>
      </c>
      <c r="E10" s="165">
        <v>3.5</v>
      </c>
      <c r="F10" s="147" t="s">
        <v>130</v>
      </c>
      <c r="G10" s="147"/>
      <c r="H10" s="295"/>
      <c r="I10" s="166">
        <v>21000</v>
      </c>
      <c r="J10" s="432">
        <v>24000</v>
      </c>
      <c r="K10" s="428">
        <v>43575</v>
      </c>
      <c r="L10" s="157">
        <v>0</v>
      </c>
      <c r="M10" s="157">
        <v>0</v>
      </c>
      <c r="N10" s="304">
        <v>43575</v>
      </c>
      <c r="O10" s="159">
        <v>12450</v>
      </c>
      <c r="P10" s="160">
        <v>0</v>
      </c>
      <c r="Q10" s="167">
        <v>43575</v>
      </c>
      <c r="R10" s="162"/>
      <c r="S10" s="255">
        <v>43575</v>
      </c>
      <c r="T10" s="305">
        <v>0</v>
      </c>
      <c r="U10" s="305">
        <v>12450</v>
      </c>
      <c r="V10" s="305">
        <v>12450</v>
      </c>
      <c r="W10" s="256">
        <v>0</v>
      </c>
      <c r="X10" s="446">
        <v>1251.2849999999999</v>
      </c>
      <c r="Y10" s="163"/>
      <c r="Z10" s="163">
        <v>0</v>
      </c>
    </row>
    <row r="11" spans="1:26">
      <c r="A11" s="164">
        <v>8502057</v>
      </c>
      <c r="B11" s="306" t="s">
        <v>146</v>
      </c>
      <c r="C11" s="147" t="s">
        <v>186</v>
      </c>
      <c r="D11" s="147" t="s">
        <v>212</v>
      </c>
      <c r="E11" s="165">
        <v>16.416666666666664</v>
      </c>
      <c r="F11" s="147" t="s">
        <v>130</v>
      </c>
      <c r="G11" s="147" t="s">
        <v>141</v>
      </c>
      <c r="H11" s="295"/>
      <c r="I11" s="166">
        <v>98499.999999999985</v>
      </c>
      <c r="J11" s="432">
        <v>0</v>
      </c>
      <c r="K11" s="428">
        <v>99600</v>
      </c>
      <c r="L11" s="157">
        <v>90529.666666666642</v>
      </c>
      <c r="M11" s="157">
        <v>0</v>
      </c>
      <c r="N11" s="304">
        <v>190129.66666666663</v>
      </c>
      <c r="O11" s="159">
        <v>11581.502538071065</v>
      </c>
      <c r="P11" s="160">
        <v>0</v>
      </c>
      <c r="Q11" s="167">
        <v>190129.66666666663</v>
      </c>
      <c r="R11" s="162"/>
      <c r="S11" s="255">
        <v>190129.66666666663</v>
      </c>
      <c r="T11" s="305">
        <v>0</v>
      </c>
      <c r="U11" s="305">
        <v>11581.502538071065</v>
      </c>
      <c r="V11" s="305">
        <v>11581.502538071065</v>
      </c>
      <c r="W11" s="256">
        <v>0</v>
      </c>
      <c r="X11" s="446">
        <v>7520.3108333333321</v>
      </c>
      <c r="Y11" s="163"/>
      <c r="Z11" s="163">
        <v>0</v>
      </c>
    </row>
    <row r="12" spans="1:26">
      <c r="A12" s="164">
        <v>8502062</v>
      </c>
      <c r="B12" s="306" t="s">
        <v>6</v>
      </c>
      <c r="C12" s="147" t="s">
        <v>186</v>
      </c>
      <c r="D12" s="147" t="s">
        <v>212</v>
      </c>
      <c r="E12" s="165">
        <v>9.3333333333333321</v>
      </c>
      <c r="F12" s="147" t="s">
        <v>130</v>
      </c>
      <c r="G12" s="147"/>
      <c r="H12" s="295"/>
      <c r="I12" s="166">
        <v>55999.999999999993</v>
      </c>
      <c r="J12" s="432">
        <v>0</v>
      </c>
      <c r="K12" s="428">
        <v>116200.00000000001</v>
      </c>
      <c r="L12" s="157">
        <v>0</v>
      </c>
      <c r="M12" s="157">
        <v>0</v>
      </c>
      <c r="N12" s="304">
        <v>116200.00000000001</v>
      </c>
      <c r="O12" s="159">
        <v>12450.000000000004</v>
      </c>
      <c r="P12" s="160">
        <v>0</v>
      </c>
      <c r="Q12" s="167">
        <v>116200.00000000001</v>
      </c>
      <c r="R12" s="162"/>
      <c r="S12" s="255">
        <v>116200.00000000001</v>
      </c>
      <c r="T12" s="305">
        <v>0</v>
      </c>
      <c r="U12" s="305">
        <v>12450.000000000004</v>
      </c>
      <c r="V12" s="305">
        <v>12450.000000000004</v>
      </c>
      <c r="W12" s="256">
        <v>0</v>
      </c>
      <c r="X12" s="446">
        <v>3336.7599999999993</v>
      </c>
      <c r="Y12" s="163"/>
      <c r="Z12" s="163">
        <v>0</v>
      </c>
    </row>
    <row r="13" spans="1:26">
      <c r="A13" s="164">
        <v>8502103</v>
      </c>
      <c r="B13" s="306" t="s">
        <v>8</v>
      </c>
      <c r="C13" s="147" t="s">
        <v>186</v>
      </c>
      <c r="D13" s="147" t="s">
        <v>212</v>
      </c>
      <c r="E13" s="165">
        <v>7.9999999999999991</v>
      </c>
      <c r="F13" s="147" t="s">
        <v>130</v>
      </c>
      <c r="G13" s="147"/>
      <c r="H13" s="295"/>
      <c r="I13" s="166">
        <v>47999.999999999993</v>
      </c>
      <c r="J13" s="432">
        <v>4000</v>
      </c>
      <c r="K13" s="428">
        <v>99600</v>
      </c>
      <c r="L13" s="157">
        <v>0</v>
      </c>
      <c r="M13" s="157">
        <v>0</v>
      </c>
      <c r="N13" s="304">
        <v>99600</v>
      </c>
      <c r="O13" s="159">
        <v>12450.000000000002</v>
      </c>
      <c r="P13" s="160">
        <v>0</v>
      </c>
      <c r="Q13" s="167">
        <v>99600</v>
      </c>
      <c r="R13" s="162"/>
      <c r="S13" s="255">
        <v>99600</v>
      </c>
      <c r="T13" s="305">
        <v>0</v>
      </c>
      <c r="U13" s="305">
        <v>12450.000000000002</v>
      </c>
      <c r="V13" s="305">
        <v>12450.000000000002</v>
      </c>
      <c r="W13" s="256">
        <v>0</v>
      </c>
      <c r="X13" s="446">
        <v>2860.0799999999995</v>
      </c>
      <c r="Y13" s="163"/>
      <c r="Z13" s="163">
        <v>0</v>
      </c>
    </row>
    <row r="14" spans="1:26">
      <c r="A14" s="164">
        <v>8502111</v>
      </c>
      <c r="B14" s="306" t="s">
        <v>9</v>
      </c>
      <c r="C14" s="147" t="s">
        <v>186</v>
      </c>
      <c r="D14" s="147" t="s">
        <v>212</v>
      </c>
      <c r="E14" s="165">
        <v>15.999999999999998</v>
      </c>
      <c r="F14" s="147" t="s">
        <v>213</v>
      </c>
      <c r="G14" s="147" t="s">
        <v>141</v>
      </c>
      <c r="H14" s="295"/>
      <c r="I14" s="166">
        <v>95999.999999999985</v>
      </c>
      <c r="J14" s="432">
        <v>0</v>
      </c>
      <c r="K14" s="428">
        <v>21272</v>
      </c>
      <c r="L14" s="157">
        <v>86047.999999999985</v>
      </c>
      <c r="M14" s="157">
        <v>0</v>
      </c>
      <c r="N14" s="304">
        <v>107319.99999999999</v>
      </c>
      <c r="O14" s="159">
        <v>6707.5</v>
      </c>
      <c r="P14" s="160">
        <v>0</v>
      </c>
      <c r="Q14" s="167">
        <v>107319.99999999999</v>
      </c>
      <c r="R14" s="162"/>
      <c r="S14" s="255">
        <v>107319.99999999999</v>
      </c>
      <c r="T14" s="305">
        <v>0</v>
      </c>
      <c r="U14" s="305">
        <v>6707.5</v>
      </c>
      <c r="V14" s="305">
        <v>6707.5</v>
      </c>
      <c r="W14" s="256">
        <v>0</v>
      </c>
      <c r="X14" s="446">
        <v>6561.2799999999988</v>
      </c>
      <c r="Y14" s="163"/>
      <c r="Z14" s="163">
        <v>0</v>
      </c>
    </row>
    <row r="15" spans="1:26">
      <c r="A15" s="164">
        <v>8502291</v>
      </c>
      <c r="B15" s="306" t="s">
        <v>159</v>
      </c>
      <c r="C15" s="147" t="s">
        <v>186</v>
      </c>
      <c r="D15" s="147" t="s">
        <v>212</v>
      </c>
      <c r="E15" s="165">
        <v>10</v>
      </c>
      <c r="F15" s="147" t="s">
        <v>143</v>
      </c>
      <c r="G15" s="147"/>
      <c r="H15" s="295"/>
      <c r="I15" s="166">
        <v>60000</v>
      </c>
      <c r="J15" s="432">
        <v>12000</v>
      </c>
      <c r="K15" s="428">
        <v>13790</v>
      </c>
      <c r="L15" s="157">
        <v>0</v>
      </c>
      <c r="M15" s="157">
        <v>0</v>
      </c>
      <c r="N15" s="304">
        <v>13790</v>
      </c>
      <c r="O15" s="159">
        <v>1379</v>
      </c>
      <c r="P15" s="160">
        <v>0</v>
      </c>
      <c r="Q15" s="167">
        <v>13790</v>
      </c>
      <c r="R15" s="162"/>
      <c r="S15" s="255">
        <v>13790</v>
      </c>
      <c r="T15" s="305">
        <v>0</v>
      </c>
      <c r="U15" s="305">
        <v>1379</v>
      </c>
      <c r="V15" s="305">
        <v>1379</v>
      </c>
      <c r="W15" s="256">
        <v>0</v>
      </c>
      <c r="X15" s="446">
        <v>2368.5</v>
      </c>
      <c r="Y15" s="163"/>
      <c r="Z15" s="163">
        <v>0</v>
      </c>
    </row>
    <row r="16" spans="1:26">
      <c r="A16" s="164">
        <v>8502127</v>
      </c>
      <c r="B16" s="306" t="s">
        <v>11</v>
      </c>
      <c r="C16" s="147" t="s">
        <v>186</v>
      </c>
      <c r="D16" s="147" t="s">
        <v>212</v>
      </c>
      <c r="E16" s="165">
        <v>12</v>
      </c>
      <c r="F16" s="147" t="s">
        <v>143</v>
      </c>
      <c r="G16" s="147"/>
      <c r="H16" s="295"/>
      <c r="I16" s="166">
        <v>72000</v>
      </c>
      <c r="J16" s="432">
        <v>0</v>
      </c>
      <c r="K16" s="428">
        <v>16548</v>
      </c>
      <c r="L16" s="157">
        <v>0</v>
      </c>
      <c r="M16" s="157">
        <v>0</v>
      </c>
      <c r="N16" s="304">
        <v>16548</v>
      </c>
      <c r="O16" s="159">
        <v>1379</v>
      </c>
      <c r="P16" s="160">
        <v>0</v>
      </c>
      <c r="Q16" s="167">
        <v>16548</v>
      </c>
      <c r="R16" s="162"/>
      <c r="S16" s="255">
        <v>16548</v>
      </c>
      <c r="T16" s="305">
        <v>0</v>
      </c>
      <c r="U16" s="305">
        <v>1379</v>
      </c>
      <c r="V16" s="305">
        <v>1379</v>
      </c>
      <c r="W16" s="256">
        <v>0</v>
      </c>
      <c r="X16" s="446">
        <v>2842.2</v>
      </c>
      <c r="Y16" s="163"/>
      <c r="Z16" s="163">
        <v>0</v>
      </c>
    </row>
    <row r="17" spans="1:26">
      <c r="A17" s="164">
        <v>8502220</v>
      </c>
      <c r="B17" s="306" t="s">
        <v>12</v>
      </c>
      <c r="C17" s="147" t="s">
        <v>186</v>
      </c>
      <c r="D17" s="147" t="s">
        <v>212</v>
      </c>
      <c r="E17" s="165">
        <v>12</v>
      </c>
      <c r="F17" s="147" t="s">
        <v>142</v>
      </c>
      <c r="G17" s="147"/>
      <c r="H17" s="295"/>
      <c r="I17" s="166">
        <v>72000</v>
      </c>
      <c r="J17" s="432">
        <v>8000</v>
      </c>
      <c r="K17" s="428">
        <v>60288</v>
      </c>
      <c r="L17" s="157">
        <v>0</v>
      </c>
      <c r="M17" s="157">
        <v>0</v>
      </c>
      <c r="N17" s="304">
        <v>60288</v>
      </c>
      <c r="O17" s="159">
        <v>5024</v>
      </c>
      <c r="P17" s="160">
        <v>10500</v>
      </c>
      <c r="Q17" s="167">
        <v>70788</v>
      </c>
      <c r="R17" s="162"/>
      <c r="S17" s="255">
        <v>70788</v>
      </c>
      <c r="T17" s="305">
        <v>0</v>
      </c>
      <c r="U17" s="305">
        <v>5899</v>
      </c>
      <c r="V17" s="305">
        <v>5899</v>
      </c>
      <c r="W17" s="256">
        <v>0</v>
      </c>
      <c r="X17" s="446">
        <v>4246.5599999999995</v>
      </c>
      <c r="Y17" s="163"/>
      <c r="Z17" s="163">
        <v>875</v>
      </c>
    </row>
    <row r="18" spans="1:26">
      <c r="A18" s="164">
        <v>8502228</v>
      </c>
      <c r="B18" s="306" t="s">
        <v>13</v>
      </c>
      <c r="C18" s="147" t="s">
        <v>186</v>
      </c>
      <c r="D18" s="147" t="s">
        <v>212</v>
      </c>
      <c r="E18" s="165">
        <v>22</v>
      </c>
      <c r="F18" s="147" t="s">
        <v>142</v>
      </c>
      <c r="G18" s="147" t="s">
        <v>143</v>
      </c>
      <c r="H18" s="295"/>
      <c r="I18" s="166">
        <v>132000</v>
      </c>
      <c r="J18" s="432">
        <v>0</v>
      </c>
      <c r="K18" s="428">
        <v>65312</v>
      </c>
      <c r="L18" s="157">
        <v>12411</v>
      </c>
      <c r="M18" s="157">
        <v>0</v>
      </c>
      <c r="N18" s="304">
        <v>77723</v>
      </c>
      <c r="O18" s="159">
        <v>3532.8636363636365</v>
      </c>
      <c r="P18" s="160">
        <v>0</v>
      </c>
      <c r="Q18" s="167">
        <v>77723</v>
      </c>
      <c r="R18" s="162"/>
      <c r="S18" s="255">
        <v>77723</v>
      </c>
      <c r="T18" s="305">
        <v>0</v>
      </c>
      <c r="U18" s="305">
        <v>3532.8636363636365</v>
      </c>
      <c r="V18" s="305">
        <v>3532.8636363636365</v>
      </c>
      <c r="W18" s="256">
        <v>0</v>
      </c>
      <c r="X18" s="446">
        <v>7444.36</v>
      </c>
      <c r="Y18" s="163"/>
      <c r="Z18" s="163">
        <v>0</v>
      </c>
    </row>
    <row r="19" spans="1:26">
      <c r="A19" s="164">
        <v>8502237</v>
      </c>
      <c r="B19" s="306" t="s">
        <v>14</v>
      </c>
      <c r="C19" s="147" t="s">
        <v>186</v>
      </c>
      <c r="D19" s="147" t="s">
        <v>212</v>
      </c>
      <c r="E19" s="165">
        <v>12</v>
      </c>
      <c r="F19" s="147" t="s">
        <v>142</v>
      </c>
      <c r="G19" s="147"/>
      <c r="H19" s="295"/>
      <c r="I19" s="166">
        <v>72000</v>
      </c>
      <c r="J19" s="432">
        <v>8000</v>
      </c>
      <c r="K19" s="428">
        <v>60288</v>
      </c>
      <c r="L19" s="157">
        <v>0</v>
      </c>
      <c r="M19" s="157">
        <v>0</v>
      </c>
      <c r="N19" s="304">
        <v>60288</v>
      </c>
      <c r="O19" s="159">
        <v>5024</v>
      </c>
      <c r="P19" s="160">
        <v>0</v>
      </c>
      <c r="Q19" s="167">
        <v>60288</v>
      </c>
      <c r="R19" s="162"/>
      <c r="S19" s="255">
        <v>60288</v>
      </c>
      <c r="T19" s="305">
        <v>0</v>
      </c>
      <c r="U19" s="305">
        <v>5024</v>
      </c>
      <c r="V19" s="305">
        <v>5024</v>
      </c>
      <c r="W19" s="256">
        <v>0</v>
      </c>
      <c r="X19" s="446">
        <v>4246.5599999999995</v>
      </c>
      <c r="Y19" s="163"/>
      <c r="Z19" s="163">
        <v>0</v>
      </c>
    </row>
    <row r="20" spans="1:26">
      <c r="A20" s="164">
        <v>8502339</v>
      </c>
      <c r="B20" s="469" t="s">
        <v>162</v>
      </c>
      <c r="C20" s="147" t="s">
        <v>186</v>
      </c>
      <c r="D20" s="147" t="s">
        <v>212</v>
      </c>
      <c r="E20" s="165">
        <v>3.5</v>
      </c>
      <c r="F20" s="147" t="s">
        <v>141</v>
      </c>
      <c r="G20" s="147"/>
      <c r="H20" s="295"/>
      <c r="I20" s="166">
        <v>21000</v>
      </c>
      <c r="J20" s="432">
        <v>14000</v>
      </c>
      <c r="K20" s="428">
        <v>37646</v>
      </c>
      <c r="L20" s="157">
        <v>0</v>
      </c>
      <c r="M20" s="157">
        <v>0</v>
      </c>
      <c r="N20" s="304">
        <v>37646</v>
      </c>
      <c r="O20" s="159">
        <v>10756</v>
      </c>
      <c r="P20" s="160">
        <v>0</v>
      </c>
      <c r="Q20" s="167">
        <v>37646</v>
      </c>
      <c r="R20" s="162"/>
      <c r="S20" s="255">
        <v>37646</v>
      </c>
      <c r="T20" s="305">
        <v>0</v>
      </c>
      <c r="U20" s="305">
        <v>10756</v>
      </c>
      <c r="V20" s="305">
        <v>10756</v>
      </c>
      <c r="W20" s="256">
        <v>0</v>
      </c>
      <c r="X20" s="446">
        <v>1882.58</v>
      </c>
      <c r="Y20" s="163"/>
      <c r="Z20" s="163">
        <v>0</v>
      </c>
    </row>
    <row r="21" spans="1:26">
      <c r="A21" s="168">
        <v>8502347</v>
      </c>
      <c r="B21" s="306" t="s">
        <v>15</v>
      </c>
      <c r="C21" s="147" t="s">
        <v>186</v>
      </c>
      <c r="D21" s="147" t="s">
        <v>212</v>
      </c>
      <c r="E21" s="165">
        <v>9</v>
      </c>
      <c r="F21" s="147" t="s">
        <v>214</v>
      </c>
      <c r="G21" s="147"/>
      <c r="H21" s="295"/>
      <c r="I21" s="166">
        <v>54000</v>
      </c>
      <c r="J21" s="432">
        <v>8000</v>
      </c>
      <c r="K21" s="428">
        <v>120222</v>
      </c>
      <c r="L21" s="157">
        <v>32415.040000000001</v>
      </c>
      <c r="M21" s="157">
        <v>0</v>
      </c>
      <c r="N21" s="304">
        <v>152637.04</v>
      </c>
      <c r="O21" s="159">
        <v>16959.671111111111</v>
      </c>
      <c r="P21" s="160">
        <v>0</v>
      </c>
      <c r="Q21" s="167">
        <v>152637.04</v>
      </c>
      <c r="R21" s="162"/>
      <c r="S21" s="255">
        <v>152637.04</v>
      </c>
      <c r="T21" s="305">
        <v>0</v>
      </c>
      <c r="U21" s="305">
        <v>16959.671111111111</v>
      </c>
      <c r="V21" s="305">
        <v>16959.671111111111</v>
      </c>
      <c r="W21" s="256">
        <v>0</v>
      </c>
      <c r="X21" s="446">
        <v>6843.42</v>
      </c>
      <c r="Y21" s="163"/>
      <c r="Z21" s="163">
        <v>0</v>
      </c>
    </row>
    <row r="22" spans="1:26">
      <c r="A22" s="164">
        <v>8502377</v>
      </c>
      <c r="B22" s="306" t="s">
        <v>16</v>
      </c>
      <c r="C22" s="147" t="s">
        <v>186</v>
      </c>
      <c r="D22" s="147" t="s">
        <v>212</v>
      </c>
      <c r="E22" s="165">
        <v>10</v>
      </c>
      <c r="F22" s="147" t="s">
        <v>143</v>
      </c>
      <c r="G22" s="147"/>
      <c r="H22" s="295"/>
      <c r="I22" s="166">
        <v>60000</v>
      </c>
      <c r="J22" s="432">
        <v>0</v>
      </c>
      <c r="K22" s="428">
        <v>13790</v>
      </c>
      <c r="L22" s="157">
        <v>0</v>
      </c>
      <c r="M22" s="157">
        <v>0</v>
      </c>
      <c r="N22" s="304">
        <v>13790</v>
      </c>
      <c r="O22" s="159">
        <v>1379</v>
      </c>
      <c r="P22" s="160">
        <v>0</v>
      </c>
      <c r="Q22" s="167">
        <v>13790</v>
      </c>
      <c r="R22" s="162"/>
      <c r="S22" s="255">
        <v>13790</v>
      </c>
      <c r="T22" s="305">
        <v>0</v>
      </c>
      <c r="U22" s="305">
        <v>1379</v>
      </c>
      <c r="V22" s="305">
        <v>1379</v>
      </c>
      <c r="W22" s="256">
        <v>0</v>
      </c>
      <c r="X22" s="446">
        <v>2368.5</v>
      </c>
      <c r="Y22" s="163"/>
      <c r="Z22" s="163">
        <v>0</v>
      </c>
    </row>
    <row r="23" spans="1:26">
      <c r="A23" s="164">
        <v>8502520</v>
      </c>
      <c r="B23" s="306" t="s">
        <v>17</v>
      </c>
      <c r="C23" s="147" t="s">
        <v>186</v>
      </c>
      <c r="D23" s="147" t="s">
        <v>212</v>
      </c>
      <c r="E23" s="165">
        <v>6</v>
      </c>
      <c r="F23" s="147" t="s">
        <v>215</v>
      </c>
      <c r="G23" s="147"/>
      <c r="H23" s="295"/>
      <c r="I23" s="166">
        <v>36000</v>
      </c>
      <c r="J23" s="432">
        <v>20000</v>
      </c>
      <c r="K23" s="428">
        <v>50388</v>
      </c>
      <c r="L23" s="157">
        <v>49914</v>
      </c>
      <c r="M23" s="157">
        <v>0</v>
      </c>
      <c r="N23" s="304">
        <v>100302</v>
      </c>
      <c r="O23" s="159">
        <v>16717</v>
      </c>
      <c r="P23" s="160">
        <v>0</v>
      </c>
      <c r="Q23" s="167">
        <v>100302</v>
      </c>
      <c r="R23" s="162"/>
      <c r="S23" s="255">
        <v>100302</v>
      </c>
      <c r="T23" s="305">
        <v>0</v>
      </c>
      <c r="U23" s="305">
        <v>16717</v>
      </c>
      <c r="V23" s="305">
        <v>16717</v>
      </c>
      <c r="W23" s="256">
        <v>0</v>
      </c>
      <c r="X23" s="446">
        <v>4375.0199999999995</v>
      </c>
      <c r="Y23" s="163"/>
      <c r="Z23" s="163">
        <v>0</v>
      </c>
    </row>
    <row r="24" spans="1:26">
      <c r="A24" s="164">
        <v>8502531</v>
      </c>
      <c r="B24" s="306" t="s">
        <v>18</v>
      </c>
      <c r="C24" s="147" t="s">
        <v>186</v>
      </c>
      <c r="D24" s="147" t="s">
        <v>212</v>
      </c>
      <c r="E24" s="165">
        <v>20</v>
      </c>
      <c r="F24" s="147" t="s">
        <v>143</v>
      </c>
      <c r="G24" s="147"/>
      <c r="H24" s="295"/>
      <c r="I24" s="166">
        <v>120000</v>
      </c>
      <c r="J24" s="432">
        <v>0</v>
      </c>
      <c r="K24" s="428">
        <v>27580</v>
      </c>
      <c r="L24" s="157">
        <v>0</v>
      </c>
      <c r="M24" s="157">
        <v>0</v>
      </c>
      <c r="N24" s="304">
        <v>27580</v>
      </c>
      <c r="O24" s="159">
        <v>1379</v>
      </c>
      <c r="P24" s="160">
        <v>0</v>
      </c>
      <c r="Q24" s="167">
        <v>27580</v>
      </c>
      <c r="R24" s="162"/>
      <c r="S24" s="255">
        <v>27580</v>
      </c>
      <c r="T24" s="305">
        <v>0</v>
      </c>
      <c r="U24" s="305">
        <v>1379</v>
      </c>
      <c r="V24" s="305">
        <v>1379</v>
      </c>
      <c r="W24" s="256">
        <v>0</v>
      </c>
      <c r="X24" s="446">
        <v>4737</v>
      </c>
      <c r="Y24" s="163"/>
      <c r="Z24" s="163">
        <v>0</v>
      </c>
    </row>
    <row r="25" spans="1:26">
      <c r="A25" s="164">
        <v>8502533</v>
      </c>
      <c r="B25" s="306" t="s">
        <v>19</v>
      </c>
      <c r="C25" s="147" t="s">
        <v>186</v>
      </c>
      <c r="D25" s="147" t="s">
        <v>212</v>
      </c>
      <c r="E25" s="165">
        <v>24</v>
      </c>
      <c r="F25" s="147" t="s">
        <v>142</v>
      </c>
      <c r="G25" s="147" t="s">
        <v>141</v>
      </c>
      <c r="H25" s="295"/>
      <c r="I25" s="166">
        <v>144000</v>
      </c>
      <c r="J25" s="432">
        <v>8000</v>
      </c>
      <c r="K25" s="428">
        <v>80384</v>
      </c>
      <c r="L25" s="157">
        <v>86048</v>
      </c>
      <c r="M25" s="157">
        <v>0</v>
      </c>
      <c r="N25" s="304">
        <v>166432</v>
      </c>
      <c r="O25" s="159">
        <v>6934.666666666667</v>
      </c>
      <c r="P25" s="160">
        <v>0</v>
      </c>
      <c r="Q25" s="167">
        <v>166432</v>
      </c>
      <c r="R25" s="162"/>
      <c r="S25" s="255">
        <v>166432</v>
      </c>
      <c r="T25" s="305">
        <v>0</v>
      </c>
      <c r="U25" s="305">
        <v>6934.666666666667</v>
      </c>
      <c r="V25" s="305">
        <v>6934.666666666667</v>
      </c>
      <c r="W25" s="256">
        <v>0</v>
      </c>
      <c r="X25" s="446">
        <v>8493.119999999999</v>
      </c>
      <c r="Y25" s="163"/>
      <c r="Z25" s="163">
        <v>0</v>
      </c>
    </row>
    <row r="26" spans="1:26">
      <c r="A26" s="164">
        <v>8502534</v>
      </c>
      <c r="B26" s="306" t="s">
        <v>20</v>
      </c>
      <c r="C26" s="147" t="s">
        <v>186</v>
      </c>
      <c r="D26" s="147" t="s">
        <v>212</v>
      </c>
      <c r="E26" s="165">
        <v>23</v>
      </c>
      <c r="F26" s="147" t="s">
        <v>142</v>
      </c>
      <c r="G26" s="147" t="s">
        <v>141</v>
      </c>
      <c r="H26" s="295"/>
      <c r="I26" s="166">
        <v>138000</v>
      </c>
      <c r="J26" s="432">
        <v>16000</v>
      </c>
      <c r="K26" s="428">
        <v>75360</v>
      </c>
      <c r="L26" s="157">
        <v>86048</v>
      </c>
      <c r="M26" s="157">
        <v>0</v>
      </c>
      <c r="N26" s="304">
        <v>161408</v>
      </c>
      <c r="O26" s="159">
        <v>7017.739130434783</v>
      </c>
      <c r="P26" s="160">
        <v>0</v>
      </c>
      <c r="Q26" s="167">
        <v>161408</v>
      </c>
      <c r="R26" s="162"/>
      <c r="S26" s="255">
        <v>161408</v>
      </c>
      <c r="T26" s="305">
        <v>0</v>
      </c>
      <c r="U26" s="305">
        <v>7017.739130434783</v>
      </c>
      <c r="V26" s="305">
        <v>7017.739130434783</v>
      </c>
      <c r="W26" s="256">
        <v>0</v>
      </c>
      <c r="X26" s="446">
        <v>8645.9299999999985</v>
      </c>
      <c r="Y26" s="163"/>
      <c r="Z26" s="163">
        <v>0</v>
      </c>
    </row>
    <row r="27" spans="1:26">
      <c r="A27" s="164">
        <v>8502732</v>
      </c>
      <c r="B27" s="306" t="s">
        <v>21</v>
      </c>
      <c r="C27" s="147" t="s">
        <v>186</v>
      </c>
      <c r="D27" s="147" t="s">
        <v>212</v>
      </c>
      <c r="E27" s="165">
        <v>6</v>
      </c>
      <c r="F27" s="147" t="s">
        <v>215</v>
      </c>
      <c r="G27" s="147"/>
      <c r="H27" s="295"/>
      <c r="I27" s="166">
        <v>36000</v>
      </c>
      <c r="J27" s="432">
        <v>0</v>
      </c>
      <c r="K27" s="428">
        <v>50388</v>
      </c>
      <c r="L27" s="157">
        <v>24957</v>
      </c>
      <c r="M27" s="157">
        <v>0</v>
      </c>
      <c r="N27" s="304">
        <v>75345</v>
      </c>
      <c r="O27" s="159">
        <v>12557.5</v>
      </c>
      <c r="P27" s="160">
        <v>0</v>
      </c>
      <c r="Q27" s="167">
        <v>75345</v>
      </c>
      <c r="R27" s="162"/>
      <c r="S27" s="255">
        <v>75345</v>
      </c>
      <c r="T27" s="305">
        <v>0</v>
      </c>
      <c r="U27" s="305">
        <v>12557.5</v>
      </c>
      <c r="V27" s="305">
        <v>12557.5</v>
      </c>
      <c r="W27" s="256">
        <v>0</v>
      </c>
      <c r="X27" s="446">
        <v>4375.0199999999995</v>
      </c>
      <c r="Y27" s="163"/>
      <c r="Z27" s="163">
        <v>0</v>
      </c>
    </row>
    <row r="28" spans="1:26">
      <c r="A28" s="164">
        <v>8502270</v>
      </c>
      <c r="B28" s="469" t="s">
        <v>156</v>
      </c>
      <c r="C28" s="147" t="s">
        <v>186</v>
      </c>
      <c r="D28" s="147" t="s">
        <v>212</v>
      </c>
      <c r="E28" s="165">
        <v>2.916666666666667</v>
      </c>
      <c r="F28" s="147" t="s">
        <v>141</v>
      </c>
      <c r="G28" s="147"/>
      <c r="H28" s="295"/>
      <c r="I28" s="166">
        <v>17500</v>
      </c>
      <c r="J28" s="432">
        <v>11666.666666666666</v>
      </c>
      <c r="K28" s="428">
        <v>31371.666666666664</v>
      </c>
      <c r="L28" s="157">
        <v>0</v>
      </c>
      <c r="M28" s="157">
        <v>0</v>
      </c>
      <c r="N28" s="304">
        <v>31371.666666666664</v>
      </c>
      <c r="O28" s="159">
        <v>10755.999999999998</v>
      </c>
      <c r="P28" s="160">
        <v>0</v>
      </c>
      <c r="Q28" s="167">
        <v>31371.666666666664</v>
      </c>
      <c r="R28" s="162"/>
      <c r="S28" s="255">
        <v>31371.666666666664</v>
      </c>
      <c r="T28" s="305">
        <v>0</v>
      </c>
      <c r="U28" s="305">
        <v>10755.999999999998</v>
      </c>
      <c r="V28" s="305">
        <v>10755.999999999998</v>
      </c>
      <c r="W28" s="256">
        <v>0</v>
      </c>
      <c r="X28" s="446">
        <v>1568.8166666666668</v>
      </c>
      <c r="Y28" s="163"/>
      <c r="Z28" s="163">
        <v>0</v>
      </c>
    </row>
    <row r="29" spans="1:26">
      <c r="A29" s="164">
        <v>8502774</v>
      </c>
      <c r="B29" s="306" t="s">
        <v>22</v>
      </c>
      <c r="C29" s="147" t="s">
        <v>186</v>
      </c>
      <c r="D29" s="147" t="s">
        <v>212</v>
      </c>
      <c r="E29" s="165">
        <v>24</v>
      </c>
      <c r="F29" s="147" t="s">
        <v>142</v>
      </c>
      <c r="G29" s="147" t="s">
        <v>141</v>
      </c>
      <c r="H29" s="295"/>
      <c r="I29" s="166">
        <v>144000</v>
      </c>
      <c r="J29" s="432">
        <v>4000</v>
      </c>
      <c r="K29" s="428">
        <v>80384</v>
      </c>
      <c r="L29" s="157">
        <v>86048</v>
      </c>
      <c r="M29" s="157">
        <v>0</v>
      </c>
      <c r="N29" s="304">
        <v>166432</v>
      </c>
      <c r="O29" s="159">
        <v>6934.666666666667</v>
      </c>
      <c r="P29" s="160">
        <v>0</v>
      </c>
      <c r="Q29" s="167">
        <v>166432</v>
      </c>
      <c r="R29" s="162"/>
      <c r="S29" s="255">
        <v>166432</v>
      </c>
      <c r="T29" s="305">
        <v>0</v>
      </c>
      <c r="U29" s="305">
        <v>6934.666666666667</v>
      </c>
      <c r="V29" s="305">
        <v>6934.666666666667</v>
      </c>
      <c r="W29" s="256">
        <v>0</v>
      </c>
      <c r="X29" s="446">
        <v>8221.92</v>
      </c>
      <c r="Y29" s="163"/>
      <c r="Z29" s="163">
        <v>0</v>
      </c>
    </row>
    <row r="30" spans="1:26">
      <c r="A30" s="164">
        <v>8502776</v>
      </c>
      <c r="B30" s="306" t="s">
        <v>23</v>
      </c>
      <c r="C30" s="147" t="s">
        <v>186</v>
      </c>
      <c r="D30" s="147" t="s">
        <v>212</v>
      </c>
      <c r="E30" s="165">
        <v>15.5</v>
      </c>
      <c r="F30" s="147" t="s">
        <v>130</v>
      </c>
      <c r="G30" s="147"/>
      <c r="H30" s="295"/>
      <c r="I30" s="166">
        <v>93000</v>
      </c>
      <c r="J30" s="432">
        <v>14000</v>
      </c>
      <c r="K30" s="428">
        <v>192975</v>
      </c>
      <c r="L30" s="157">
        <v>0</v>
      </c>
      <c r="M30" s="157">
        <v>0</v>
      </c>
      <c r="N30" s="304">
        <v>192975</v>
      </c>
      <c r="O30" s="159">
        <v>12450</v>
      </c>
      <c r="P30" s="160">
        <v>0</v>
      </c>
      <c r="Q30" s="167">
        <v>192975</v>
      </c>
      <c r="R30" s="162"/>
      <c r="S30" s="255">
        <v>192975</v>
      </c>
      <c r="T30" s="305">
        <v>0</v>
      </c>
      <c r="U30" s="305">
        <v>12450</v>
      </c>
      <c r="V30" s="305">
        <v>12450</v>
      </c>
      <c r="W30" s="256">
        <v>0</v>
      </c>
      <c r="X30" s="446">
        <v>5541.4049999999997</v>
      </c>
      <c r="Y30" s="163"/>
      <c r="Z30" s="163">
        <v>0</v>
      </c>
    </row>
    <row r="31" spans="1:26">
      <c r="A31" s="164">
        <v>8502777</v>
      </c>
      <c r="B31" s="306" t="s">
        <v>24</v>
      </c>
      <c r="C31" s="147" t="s">
        <v>186</v>
      </c>
      <c r="D31" s="147" t="s">
        <v>212</v>
      </c>
      <c r="E31" s="165">
        <v>32.25</v>
      </c>
      <c r="F31" s="147" t="s">
        <v>142</v>
      </c>
      <c r="G31" s="147" t="s">
        <v>141</v>
      </c>
      <c r="H31" s="295"/>
      <c r="I31" s="166">
        <v>193500</v>
      </c>
      <c r="J31" s="432">
        <v>9000</v>
      </c>
      <c r="K31" s="428">
        <v>38098.666666666664</v>
      </c>
      <c r="L31" s="157">
        <v>265314.66666666669</v>
      </c>
      <c r="M31" s="157">
        <v>0</v>
      </c>
      <c r="N31" s="304">
        <v>303413.33333333337</v>
      </c>
      <c r="O31" s="159">
        <v>9408.1653746770044</v>
      </c>
      <c r="P31" s="160">
        <v>0</v>
      </c>
      <c r="Q31" s="167">
        <v>303413.33333333337</v>
      </c>
      <c r="R31" s="162"/>
      <c r="S31" s="255">
        <v>303413.33333333337</v>
      </c>
      <c r="T31" s="305">
        <v>0</v>
      </c>
      <c r="U31" s="305">
        <v>9408.1653746770044</v>
      </c>
      <c r="V31" s="305">
        <v>9408.1653746770044</v>
      </c>
      <c r="W31" s="256">
        <v>0</v>
      </c>
      <c r="X31" s="446">
        <v>14929.17</v>
      </c>
      <c r="Y31" s="163"/>
      <c r="Z31" s="163">
        <v>0</v>
      </c>
    </row>
    <row r="32" spans="1:26">
      <c r="A32" s="164">
        <v>8503101</v>
      </c>
      <c r="B32" s="306" t="s">
        <v>25</v>
      </c>
      <c r="C32" s="147" t="s">
        <v>186</v>
      </c>
      <c r="D32" s="147" t="s">
        <v>212</v>
      </c>
      <c r="E32" s="165">
        <v>14.000000000000002</v>
      </c>
      <c r="F32" s="147" t="s">
        <v>215</v>
      </c>
      <c r="G32" s="147"/>
      <c r="H32" s="295"/>
      <c r="I32" s="166">
        <v>84000.000000000015</v>
      </c>
      <c r="J32" s="432">
        <v>16000</v>
      </c>
      <c r="K32" s="428">
        <v>117572</v>
      </c>
      <c r="L32" s="157">
        <v>96417.209999999992</v>
      </c>
      <c r="M32" s="157">
        <v>0</v>
      </c>
      <c r="N32" s="304">
        <v>213989.21</v>
      </c>
      <c r="O32" s="159">
        <v>15284.943571428568</v>
      </c>
      <c r="P32" s="160">
        <v>0</v>
      </c>
      <c r="Q32" s="167">
        <v>213989.21</v>
      </c>
      <c r="R32" s="162"/>
      <c r="S32" s="255">
        <v>213989.21</v>
      </c>
      <c r="T32" s="305">
        <v>0</v>
      </c>
      <c r="U32" s="305">
        <v>15284.943571428568</v>
      </c>
      <c r="V32" s="305">
        <v>15284.943571428568</v>
      </c>
      <c r="W32" s="256">
        <v>0</v>
      </c>
      <c r="X32" s="446">
        <v>9407.3000000000011</v>
      </c>
      <c r="Y32" s="163"/>
      <c r="Z32" s="163">
        <v>0</v>
      </c>
    </row>
    <row r="33" spans="1:26">
      <c r="A33" s="164">
        <v>8503124</v>
      </c>
      <c r="B33" s="306" t="s">
        <v>163</v>
      </c>
      <c r="C33" s="147" t="s">
        <v>186</v>
      </c>
      <c r="D33" s="147" t="s">
        <v>212</v>
      </c>
      <c r="E33" s="165">
        <v>7.9999999999999991</v>
      </c>
      <c r="F33" s="147" t="s">
        <v>130</v>
      </c>
      <c r="G33" s="147"/>
      <c r="H33" s="295"/>
      <c r="I33" s="166">
        <v>47999.999999999993</v>
      </c>
      <c r="J33" s="432">
        <v>0</v>
      </c>
      <c r="K33" s="428">
        <v>99600</v>
      </c>
      <c r="L33" s="157">
        <v>0</v>
      </c>
      <c r="M33" s="157">
        <v>0</v>
      </c>
      <c r="N33" s="304">
        <v>99600</v>
      </c>
      <c r="O33" s="159">
        <v>12450.000000000002</v>
      </c>
      <c r="P33" s="160">
        <v>0</v>
      </c>
      <c r="Q33" s="167">
        <v>99600</v>
      </c>
      <c r="R33" s="162"/>
      <c r="S33" s="255">
        <v>99600</v>
      </c>
      <c r="T33" s="305">
        <v>0</v>
      </c>
      <c r="U33" s="305">
        <v>12450.000000000002</v>
      </c>
      <c r="V33" s="305">
        <v>12450.000000000002</v>
      </c>
      <c r="W33" s="256">
        <v>0</v>
      </c>
      <c r="X33" s="446">
        <v>2860.0799999999995</v>
      </c>
      <c r="Y33" s="163"/>
      <c r="Z33" s="163">
        <v>0</v>
      </c>
    </row>
    <row r="34" spans="1:26">
      <c r="A34" s="164">
        <v>8503192</v>
      </c>
      <c r="B34" s="469" t="s">
        <v>164</v>
      </c>
      <c r="C34" s="147" t="s">
        <v>186</v>
      </c>
      <c r="D34" s="147" t="s">
        <v>212</v>
      </c>
      <c r="E34" s="165">
        <v>4.6666666666666661</v>
      </c>
      <c r="F34" s="147" t="s">
        <v>141</v>
      </c>
      <c r="G34" s="147"/>
      <c r="H34" s="295"/>
      <c r="I34" s="166">
        <v>27999.999999999996</v>
      </c>
      <c r="J34" s="432">
        <v>0</v>
      </c>
      <c r="K34" s="428">
        <v>50194.666666667021</v>
      </c>
      <c r="L34" s="157">
        <v>0</v>
      </c>
      <c r="M34" s="157">
        <v>0</v>
      </c>
      <c r="N34" s="304">
        <v>50194.666666667021</v>
      </c>
      <c r="O34" s="159">
        <v>10756.000000000076</v>
      </c>
      <c r="P34" s="160">
        <v>0</v>
      </c>
      <c r="Q34" s="167">
        <v>50194.666666667021</v>
      </c>
      <c r="R34" s="162"/>
      <c r="S34" s="255">
        <v>50194.666666667021</v>
      </c>
      <c r="T34" s="305">
        <v>0</v>
      </c>
      <c r="U34" s="305">
        <v>10756.000000000076</v>
      </c>
      <c r="V34" s="305">
        <v>10756.000000000076</v>
      </c>
      <c r="W34" s="256">
        <v>0</v>
      </c>
      <c r="X34" s="446">
        <v>2510.1066666666661</v>
      </c>
      <c r="Y34" s="163"/>
      <c r="Z34" s="163">
        <v>0</v>
      </c>
    </row>
    <row r="35" spans="1:26">
      <c r="A35" s="164">
        <v>8503197</v>
      </c>
      <c r="B35" s="469" t="s">
        <v>165</v>
      </c>
      <c r="C35" s="147" t="s">
        <v>186</v>
      </c>
      <c r="D35" s="147" t="s">
        <v>212</v>
      </c>
      <c r="E35" s="165">
        <v>3.5</v>
      </c>
      <c r="F35" s="147" t="s">
        <v>130</v>
      </c>
      <c r="G35" s="147"/>
      <c r="H35" s="295"/>
      <c r="I35" s="166">
        <v>21000</v>
      </c>
      <c r="J35" s="432">
        <v>0</v>
      </c>
      <c r="K35" s="428">
        <v>43575</v>
      </c>
      <c r="L35" s="157">
        <v>0</v>
      </c>
      <c r="M35" s="157">
        <v>0</v>
      </c>
      <c r="N35" s="304">
        <v>43575</v>
      </c>
      <c r="O35" s="159">
        <v>12450</v>
      </c>
      <c r="P35" s="160">
        <v>0</v>
      </c>
      <c r="Q35" s="167">
        <v>43575</v>
      </c>
      <c r="R35" s="162"/>
      <c r="S35" s="255">
        <v>43575</v>
      </c>
      <c r="T35" s="305">
        <v>0</v>
      </c>
      <c r="U35" s="305">
        <v>12450</v>
      </c>
      <c r="V35" s="305">
        <v>12450</v>
      </c>
      <c r="W35" s="256">
        <v>0</v>
      </c>
      <c r="X35" s="446">
        <v>1251.2849999999999</v>
      </c>
      <c r="Y35" s="163"/>
      <c r="Z35" s="163">
        <v>0</v>
      </c>
    </row>
    <row r="36" spans="1:26">
      <c r="A36" s="164">
        <v>8503404</v>
      </c>
      <c r="B36" s="306" t="s">
        <v>166</v>
      </c>
      <c r="C36" s="147" t="s">
        <v>186</v>
      </c>
      <c r="D36" s="147" t="s">
        <v>212</v>
      </c>
      <c r="E36" s="165">
        <v>6</v>
      </c>
      <c r="F36" s="147" t="s">
        <v>215</v>
      </c>
      <c r="G36" s="147"/>
      <c r="H36" s="295"/>
      <c r="I36" s="166">
        <v>36000</v>
      </c>
      <c r="J36" s="432">
        <v>8000</v>
      </c>
      <c r="K36" s="428">
        <v>50388</v>
      </c>
      <c r="L36" s="157">
        <v>37435.5</v>
      </c>
      <c r="M36" s="157">
        <v>0</v>
      </c>
      <c r="N36" s="304">
        <v>87823.5</v>
      </c>
      <c r="O36" s="159">
        <v>14637.25</v>
      </c>
      <c r="P36" s="160">
        <v>0</v>
      </c>
      <c r="Q36" s="167">
        <v>87823.5</v>
      </c>
      <c r="R36" s="162"/>
      <c r="S36" s="255">
        <v>87823.5</v>
      </c>
      <c r="T36" s="305">
        <v>0</v>
      </c>
      <c r="U36" s="305">
        <v>14637.25</v>
      </c>
      <c r="V36" s="305">
        <v>14637.25</v>
      </c>
      <c r="W36" s="256">
        <v>0</v>
      </c>
      <c r="X36" s="446">
        <v>4375.0199999999995</v>
      </c>
      <c r="Y36" s="163"/>
      <c r="Z36" s="163">
        <v>0</v>
      </c>
    </row>
    <row r="37" spans="1:26">
      <c r="A37" s="164">
        <v>8503665</v>
      </c>
      <c r="B37" s="306" t="s">
        <v>26</v>
      </c>
      <c r="C37" s="147" t="s">
        <v>186</v>
      </c>
      <c r="D37" s="147" t="s">
        <v>212</v>
      </c>
      <c r="E37" s="165">
        <v>7.0000000000000009</v>
      </c>
      <c r="F37" s="147" t="s">
        <v>130</v>
      </c>
      <c r="G37" s="147"/>
      <c r="H37" s="295"/>
      <c r="I37" s="166">
        <v>42000.000000000007</v>
      </c>
      <c r="J37" s="432">
        <v>0</v>
      </c>
      <c r="K37" s="428">
        <v>87150</v>
      </c>
      <c r="L37" s="157">
        <v>0</v>
      </c>
      <c r="M37" s="157">
        <v>0</v>
      </c>
      <c r="N37" s="304">
        <v>87150</v>
      </c>
      <c r="O37" s="159">
        <v>12449.999999999998</v>
      </c>
      <c r="P37" s="160">
        <v>0</v>
      </c>
      <c r="Q37" s="167">
        <v>87150</v>
      </c>
      <c r="R37" s="162"/>
      <c r="S37" s="255">
        <v>87150</v>
      </c>
      <c r="T37" s="305">
        <v>0</v>
      </c>
      <c r="U37" s="305">
        <v>12449.999999999998</v>
      </c>
      <c r="V37" s="305">
        <v>12449.999999999998</v>
      </c>
      <c r="W37" s="256">
        <v>0</v>
      </c>
      <c r="X37" s="446">
        <v>2502.5700000000002</v>
      </c>
      <c r="Y37" s="163"/>
      <c r="Z37" s="163">
        <v>0</v>
      </c>
    </row>
    <row r="38" spans="1:26">
      <c r="A38" s="168">
        <v>8504000</v>
      </c>
      <c r="B38" s="306" t="s">
        <v>27</v>
      </c>
      <c r="C38" s="147" t="s">
        <v>188</v>
      </c>
      <c r="D38" s="147" t="s">
        <v>217</v>
      </c>
      <c r="E38" s="165">
        <v>7.0833333333333339</v>
      </c>
      <c r="F38" s="147" t="s">
        <v>218</v>
      </c>
      <c r="G38" s="147"/>
      <c r="H38" s="295"/>
      <c r="I38" s="166">
        <v>42500</v>
      </c>
      <c r="J38" s="432">
        <v>4000</v>
      </c>
      <c r="K38" s="428">
        <v>8216.6666666666679</v>
      </c>
      <c r="L38" s="157">
        <v>0</v>
      </c>
      <c r="M38" s="157">
        <v>0</v>
      </c>
      <c r="N38" s="304">
        <v>8216.6666666666679</v>
      </c>
      <c r="O38" s="159">
        <v>1160</v>
      </c>
      <c r="P38" s="160">
        <v>0</v>
      </c>
      <c r="Q38" s="167">
        <v>8216.6666666666679</v>
      </c>
      <c r="R38" s="162"/>
      <c r="S38" s="255">
        <v>8216.6666666666679</v>
      </c>
      <c r="T38" s="305">
        <v>0</v>
      </c>
      <c r="U38" s="305">
        <v>1160</v>
      </c>
      <c r="V38" s="305">
        <v>1160</v>
      </c>
      <c r="W38" s="256">
        <v>0</v>
      </c>
      <c r="X38" s="446">
        <v>1627.8208333333334</v>
      </c>
      <c r="Y38" s="163"/>
      <c r="Z38" s="163">
        <v>0</v>
      </c>
    </row>
    <row r="39" spans="1:26">
      <c r="A39" s="168">
        <v>8504007</v>
      </c>
      <c r="B39" s="306" t="s">
        <v>170</v>
      </c>
      <c r="C39" s="147" t="s">
        <v>188</v>
      </c>
      <c r="D39" s="147" t="s">
        <v>217</v>
      </c>
      <c r="E39" s="165">
        <v>6</v>
      </c>
      <c r="F39" s="147" t="s">
        <v>143</v>
      </c>
      <c r="G39" s="147"/>
      <c r="H39" s="295"/>
      <c r="I39" s="166">
        <v>36000</v>
      </c>
      <c r="J39" s="432">
        <v>8000</v>
      </c>
      <c r="K39" s="428">
        <v>17232</v>
      </c>
      <c r="L39" s="157">
        <v>0</v>
      </c>
      <c r="M39" s="157">
        <v>0</v>
      </c>
      <c r="N39" s="304">
        <v>17232</v>
      </c>
      <c r="O39" s="159">
        <v>2872</v>
      </c>
      <c r="P39" s="160">
        <v>0</v>
      </c>
      <c r="Q39" s="167">
        <v>17232</v>
      </c>
      <c r="R39" s="162"/>
      <c r="S39" s="255">
        <v>17232</v>
      </c>
      <c r="T39" s="305">
        <v>0</v>
      </c>
      <c r="U39" s="305">
        <v>2872</v>
      </c>
      <c r="V39" s="305">
        <v>2872</v>
      </c>
      <c r="W39" s="256">
        <v>0</v>
      </c>
      <c r="X39" s="446">
        <v>1708.5</v>
      </c>
      <c r="Y39" s="163"/>
      <c r="Z39" s="163">
        <v>0</v>
      </c>
    </row>
    <row r="40" spans="1:26">
      <c r="A40" s="168">
        <v>8504110</v>
      </c>
      <c r="B40" s="306" t="s">
        <v>29</v>
      </c>
      <c r="C40" s="147" t="s">
        <v>188</v>
      </c>
      <c r="D40" s="147" t="s">
        <v>217</v>
      </c>
      <c r="E40" s="165">
        <v>20</v>
      </c>
      <c r="F40" s="147" t="s">
        <v>218</v>
      </c>
      <c r="G40" s="147" t="s">
        <v>141</v>
      </c>
      <c r="H40" s="295"/>
      <c r="I40" s="166">
        <v>120000</v>
      </c>
      <c r="J40" s="432">
        <v>20000</v>
      </c>
      <c r="K40" s="428">
        <v>8216.6666666666679</v>
      </c>
      <c r="L40" s="157">
        <v>128030</v>
      </c>
      <c r="M40" s="157">
        <v>0</v>
      </c>
      <c r="N40" s="304">
        <v>136246.66666666666</v>
      </c>
      <c r="O40" s="159">
        <v>6812.333333333333</v>
      </c>
      <c r="P40" s="160">
        <v>0</v>
      </c>
      <c r="Q40" s="167">
        <v>136246.66666666666</v>
      </c>
      <c r="R40" s="162"/>
      <c r="S40" s="255">
        <v>136246.66666666666</v>
      </c>
      <c r="T40" s="305">
        <v>0</v>
      </c>
      <c r="U40" s="305">
        <v>6812.333333333333</v>
      </c>
      <c r="V40" s="305">
        <v>6812.333333333333</v>
      </c>
      <c r="W40" s="256">
        <v>0</v>
      </c>
      <c r="X40" s="446">
        <v>7405.5999999999995</v>
      </c>
      <c r="Y40" s="163"/>
      <c r="Z40" s="163">
        <v>0</v>
      </c>
    </row>
    <row r="41" spans="1:26">
      <c r="A41" s="168">
        <v>8504113</v>
      </c>
      <c r="B41" s="306" t="s">
        <v>30</v>
      </c>
      <c r="C41" s="147" t="s">
        <v>186</v>
      </c>
      <c r="D41" s="147" t="s">
        <v>217</v>
      </c>
      <c r="E41" s="165">
        <v>19.583333333333336</v>
      </c>
      <c r="F41" s="147" t="s">
        <v>214</v>
      </c>
      <c r="G41" s="147"/>
      <c r="H41" s="295"/>
      <c r="I41" s="166">
        <v>117500.00000000001</v>
      </c>
      <c r="J41" s="432">
        <v>0</v>
      </c>
      <c r="K41" s="428">
        <v>241795.41666666666</v>
      </c>
      <c r="L41" s="157">
        <v>12732.16</v>
      </c>
      <c r="M41" s="157">
        <v>0</v>
      </c>
      <c r="N41" s="304">
        <v>254527.57666666666</v>
      </c>
      <c r="O41" s="159">
        <v>12997.152851063827</v>
      </c>
      <c r="P41" s="160">
        <v>0</v>
      </c>
      <c r="Q41" s="167">
        <v>254527.57666666666</v>
      </c>
      <c r="R41" s="162"/>
      <c r="S41" s="255">
        <v>254527.57666666666</v>
      </c>
      <c r="T41" s="305">
        <v>0</v>
      </c>
      <c r="U41" s="305">
        <v>12997.152851063827</v>
      </c>
      <c r="V41" s="305">
        <v>12997.152851063827</v>
      </c>
      <c r="W41" s="256">
        <v>0</v>
      </c>
      <c r="X41" s="446">
        <v>12553.7</v>
      </c>
      <c r="Y41" s="163"/>
      <c r="Z41" s="163">
        <v>0</v>
      </c>
    </row>
    <row r="42" spans="1:26">
      <c r="A42" s="168">
        <v>8504128</v>
      </c>
      <c r="B42" s="306" t="s">
        <v>31</v>
      </c>
      <c r="C42" s="147" t="s">
        <v>188</v>
      </c>
      <c r="D42" s="147" t="s">
        <v>217</v>
      </c>
      <c r="E42" s="165">
        <v>18.5</v>
      </c>
      <c r="F42" s="147" t="s">
        <v>220</v>
      </c>
      <c r="G42" s="147" t="s">
        <v>130</v>
      </c>
      <c r="H42" s="295"/>
      <c r="I42" s="166">
        <v>111000</v>
      </c>
      <c r="J42" s="432">
        <v>24000</v>
      </c>
      <c r="K42" s="428">
        <v>71410</v>
      </c>
      <c r="L42" s="157">
        <v>151470</v>
      </c>
      <c r="M42" s="157">
        <v>0</v>
      </c>
      <c r="N42" s="304">
        <v>222880</v>
      </c>
      <c r="O42" s="159">
        <v>12047.567567567568</v>
      </c>
      <c r="P42" s="160">
        <v>0</v>
      </c>
      <c r="Q42" s="167">
        <v>222880</v>
      </c>
      <c r="R42" s="162"/>
      <c r="S42" s="255">
        <v>222880</v>
      </c>
      <c r="T42" s="305">
        <v>0</v>
      </c>
      <c r="U42" s="305">
        <v>12047.567567567568</v>
      </c>
      <c r="V42" s="305">
        <v>12047.567567567568</v>
      </c>
      <c r="W42" s="256">
        <v>0</v>
      </c>
      <c r="X42" s="446">
        <v>8920.6999999999989</v>
      </c>
      <c r="Y42" s="163"/>
      <c r="Z42" s="163">
        <v>0</v>
      </c>
    </row>
    <row r="43" spans="1:26">
      <c r="A43" s="168">
        <v>8504130</v>
      </c>
      <c r="B43" s="306" t="s">
        <v>174</v>
      </c>
      <c r="C43" s="147" t="s">
        <v>188</v>
      </c>
      <c r="D43" s="147" t="s">
        <v>217</v>
      </c>
      <c r="E43" s="165">
        <v>8.3333333333333339</v>
      </c>
      <c r="F43" s="147" t="s">
        <v>130</v>
      </c>
      <c r="G43" s="147"/>
      <c r="H43" s="295"/>
      <c r="I43" s="166">
        <v>50000</v>
      </c>
      <c r="J43" s="432">
        <v>32000</v>
      </c>
      <c r="K43" s="428">
        <v>93499.999999999985</v>
      </c>
      <c r="L43" s="157">
        <v>0</v>
      </c>
      <c r="M43" s="157">
        <v>0</v>
      </c>
      <c r="N43" s="304">
        <v>93499.999999999985</v>
      </c>
      <c r="O43" s="159">
        <v>11219.999999999998</v>
      </c>
      <c r="P43" s="160">
        <v>0</v>
      </c>
      <c r="Q43" s="167">
        <v>93499.999999999985</v>
      </c>
      <c r="R43" s="162"/>
      <c r="S43" s="255">
        <v>93499.999999999985</v>
      </c>
      <c r="T43" s="305">
        <v>0</v>
      </c>
      <c r="U43" s="305">
        <v>11219.999999999998</v>
      </c>
      <c r="V43" s="305">
        <v>11219.999999999998</v>
      </c>
      <c r="W43" s="256">
        <v>0</v>
      </c>
      <c r="X43" s="446">
        <v>2845.5</v>
      </c>
      <c r="Y43" s="163"/>
      <c r="Z43" s="163">
        <v>0</v>
      </c>
    </row>
    <row r="44" spans="1:26">
      <c r="A44" s="168">
        <v>8504133</v>
      </c>
      <c r="B44" s="306" t="s">
        <v>32</v>
      </c>
      <c r="C44" s="147" t="s">
        <v>186</v>
      </c>
      <c r="D44" s="147" t="s">
        <v>217</v>
      </c>
      <c r="E44" s="165">
        <v>15</v>
      </c>
      <c r="F44" s="147" t="s">
        <v>221</v>
      </c>
      <c r="G44" s="147"/>
      <c r="H44" s="295"/>
      <c r="I44" s="166">
        <v>90000</v>
      </c>
      <c r="J44" s="432">
        <v>16000</v>
      </c>
      <c r="K44" s="428">
        <v>171555</v>
      </c>
      <c r="L44" s="157">
        <v>0</v>
      </c>
      <c r="M44" s="157">
        <v>0</v>
      </c>
      <c r="N44" s="304">
        <v>171555</v>
      </c>
      <c r="O44" s="159">
        <v>11437</v>
      </c>
      <c r="P44" s="160">
        <v>0</v>
      </c>
      <c r="Q44" s="167">
        <v>171555</v>
      </c>
      <c r="R44" s="162"/>
      <c r="S44" s="255">
        <v>171555</v>
      </c>
      <c r="T44" s="305">
        <v>0</v>
      </c>
      <c r="U44" s="305">
        <v>11437</v>
      </c>
      <c r="V44" s="305">
        <v>11437</v>
      </c>
      <c r="W44" s="256">
        <v>0</v>
      </c>
      <c r="X44" s="446">
        <v>8396.25</v>
      </c>
      <c r="Y44" s="163"/>
      <c r="Z44" s="163">
        <v>0</v>
      </c>
    </row>
    <row r="45" spans="1:26">
      <c r="A45" s="168">
        <v>8504143</v>
      </c>
      <c r="B45" s="306" t="s">
        <v>33</v>
      </c>
      <c r="C45" s="147" t="s">
        <v>188</v>
      </c>
      <c r="D45" s="147" t="s">
        <v>217</v>
      </c>
      <c r="E45" s="165">
        <v>12</v>
      </c>
      <c r="F45" s="147" t="s">
        <v>141</v>
      </c>
      <c r="G45" s="147"/>
      <c r="H45" s="295"/>
      <c r="I45" s="166">
        <v>72000</v>
      </c>
      <c r="J45" s="432">
        <v>0</v>
      </c>
      <c r="K45" s="428">
        <v>118944</v>
      </c>
      <c r="L45" s="157">
        <v>0</v>
      </c>
      <c r="M45" s="157">
        <v>0</v>
      </c>
      <c r="N45" s="304">
        <v>118944</v>
      </c>
      <c r="O45" s="159">
        <v>9912</v>
      </c>
      <c r="P45" s="160">
        <v>0</v>
      </c>
      <c r="Q45" s="167">
        <v>118944</v>
      </c>
      <c r="R45" s="162"/>
      <c r="S45" s="255">
        <v>118944</v>
      </c>
      <c r="T45" s="305">
        <v>0</v>
      </c>
      <c r="U45" s="305">
        <v>9912</v>
      </c>
      <c r="V45" s="305">
        <v>9912</v>
      </c>
      <c r="W45" s="256">
        <v>0</v>
      </c>
      <c r="X45" s="446">
        <v>6129</v>
      </c>
      <c r="Y45" s="163"/>
      <c r="Z45" s="163">
        <v>0</v>
      </c>
    </row>
    <row r="46" spans="1:26">
      <c r="A46" s="168">
        <v>8504159</v>
      </c>
      <c r="B46" s="469" t="s">
        <v>175</v>
      </c>
      <c r="C46" s="147" t="s">
        <v>186</v>
      </c>
      <c r="D46" s="147" t="s">
        <v>217</v>
      </c>
      <c r="E46" s="165">
        <v>2.916666666666667</v>
      </c>
      <c r="F46" s="147" t="s">
        <v>141</v>
      </c>
      <c r="G46" s="147"/>
      <c r="H46" s="295"/>
      <c r="I46" s="166">
        <v>17500</v>
      </c>
      <c r="J46" s="432">
        <v>11666.666666666666</v>
      </c>
      <c r="K46" s="428">
        <v>28910</v>
      </c>
      <c r="L46" s="157">
        <v>0</v>
      </c>
      <c r="M46" s="157">
        <v>0</v>
      </c>
      <c r="N46" s="304">
        <v>28910</v>
      </c>
      <c r="O46" s="159">
        <v>9911.9999999999982</v>
      </c>
      <c r="P46" s="160">
        <v>0</v>
      </c>
      <c r="Q46" s="167">
        <v>28910</v>
      </c>
      <c r="R46" s="162"/>
      <c r="S46" s="255">
        <v>28910</v>
      </c>
      <c r="T46" s="305">
        <v>0</v>
      </c>
      <c r="U46" s="305">
        <v>9911.9999999999982</v>
      </c>
      <c r="V46" s="305">
        <v>9911.9999999999982</v>
      </c>
      <c r="W46" s="256">
        <v>0</v>
      </c>
      <c r="X46" s="446">
        <v>1489.6875000000002</v>
      </c>
      <c r="Y46" s="163"/>
      <c r="Z46" s="163">
        <v>0</v>
      </c>
    </row>
    <row r="47" spans="1:26">
      <c r="A47" s="28">
        <v>8504173</v>
      </c>
      <c r="B47" s="368" t="s">
        <v>34</v>
      </c>
      <c r="C47" s="147" t="s">
        <v>186</v>
      </c>
      <c r="D47" s="147" t="s">
        <v>217</v>
      </c>
      <c r="E47" s="165">
        <v>16.166666666666668</v>
      </c>
      <c r="F47" s="147" t="s">
        <v>141</v>
      </c>
      <c r="G47" s="147"/>
      <c r="H47" s="295"/>
      <c r="I47" s="166">
        <v>97000</v>
      </c>
      <c r="J47" s="432">
        <v>0</v>
      </c>
      <c r="K47" s="428">
        <v>160243.99999999997</v>
      </c>
      <c r="L47" s="157">
        <v>0</v>
      </c>
      <c r="M47" s="157">
        <v>0</v>
      </c>
      <c r="N47" s="304">
        <v>160243.99999999997</v>
      </c>
      <c r="O47" s="159">
        <v>9911.9999999999982</v>
      </c>
      <c r="P47" s="160">
        <v>0</v>
      </c>
      <c r="Q47" s="167">
        <v>160243.99999999997</v>
      </c>
      <c r="R47" s="162"/>
      <c r="S47" s="255">
        <v>160243.99999999997</v>
      </c>
      <c r="T47" s="305">
        <v>0</v>
      </c>
      <c r="U47" s="305">
        <v>9911.9999999999982</v>
      </c>
      <c r="V47" s="305">
        <v>9911.9999999999982</v>
      </c>
      <c r="W47" s="256">
        <v>0</v>
      </c>
      <c r="X47" s="446">
        <v>8257.125</v>
      </c>
      <c r="Y47" s="163"/>
      <c r="Z47" s="163">
        <v>0</v>
      </c>
    </row>
    <row r="48" spans="1:26">
      <c r="A48" s="168">
        <v>8504174</v>
      </c>
      <c r="B48" s="306" t="s">
        <v>35</v>
      </c>
      <c r="C48" s="147" t="s">
        <v>186</v>
      </c>
      <c r="D48" s="147" t="s">
        <v>217</v>
      </c>
      <c r="E48" s="165">
        <v>6</v>
      </c>
      <c r="F48" s="147" t="s">
        <v>215</v>
      </c>
      <c r="G48" s="147"/>
      <c r="H48" s="295"/>
      <c r="I48" s="166">
        <v>36000</v>
      </c>
      <c r="J48" s="432">
        <v>0</v>
      </c>
      <c r="K48" s="428">
        <v>35796</v>
      </c>
      <c r="L48" s="157">
        <v>0</v>
      </c>
      <c r="M48" s="157">
        <v>0</v>
      </c>
      <c r="N48" s="304">
        <v>35796</v>
      </c>
      <c r="O48" s="159">
        <v>5966</v>
      </c>
      <c r="P48" s="160">
        <v>0</v>
      </c>
      <c r="Q48" s="167">
        <v>35796</v>
      </c>
      <c r="R48" s="162"/>
      <c r="S48" s="255">
        <v>35796</v>
      </c>
      <c r="T48" s="305">
        <v>0</v>
      </c>
      <c r="U48" s="305">
        <v>5966</v>
      </c>
      <c r="V48" s="305">
        <v>5966</v>
      </c>
      <c r="W48" s="256">
        <v>0</v>
      </c>
      <c r="X48" s="446">
        <v>2304.6</v>
      </c>
      <c r="Y48" s="163"/>
      <c r="Z48" s="163">
        <v>0</v>
      </c>
    </row>
    <row r="49" spans="1:26">
      <c r="A49" s="168">
        <v>8504180</v>
      </c>
      <c r="B49" s="306" t="s">
        <v>36</v>
      </c>
      <c r="C49" s="147" t="s">
        <v>186</v>
      </c>
      <c r="D49" s="147" t="s">
        <v>217</v>
      </c>
      <c r="E49" s="165">
        <v>12</v>
      </c>
      <c r="F49" s="147" t="s">
        <v>142</v>
      </c>
      <c r="G49" s="147"/>
      <c r="H49" s="295"/>
      <c r="I49" s="166">
        <v>72000</v>
      </c>
      <c r="J49" s="432">
        <v>8000</v>
      </c>
      <c r="K49" s="428">
        <v>59028</v>
      </c>
      <c r="L49" s="157">
        <v>0</v>
      </c>
      <c r="M49" s="157">
        <v>0</v>
      </c>
      <c r="N49" s="304">
        <v>59028</v>
      </c>
      <c r="O49" s="159">
        <v>4919</v>
      </c>
      <c r="P49" s="160">
        <v>0</v>
      </c>
      <c r="Q49" s="167">
        <v>59028</v>
      </c>
      <c r="R49" s="162"/>
      <c r="S49" s="255">
        <v>59028</v>
      </c>
      <c r="T49" s="305">
        <v>0</v>
      </c>
      <c r="U49" s="305">
        <v>4919</v>
      </c>
      <c r="V49" s="305">
        <v>4919</v>
      </c>
      <c r="W49" s="256">
        <v>0</v>
      </c>
      <c r="X49" s="446">
        <v>4205.76</v>
      </c>
      <c r="Y49" s="163"/>
      <c r="Z49" s="163">
        <v>0</v>
      </c>
    </row>
    <row r="50" spans="1:26">
      <c r="A50" s="168">
        <v>8504164</v>
      </c>
      <c r="B50" s="306" t="s">
        <v>37</v>
      </c>
      <c r="C50" s="147" t="s">
        <v>186</v>
      </c>
      <c r="D50" s="147" t="s">
        <v>217</v>
      </c>
      <c r="E50" s="165">
        <v>12</v>
      </c>
      <c r="F50" s="147" t="s">
        <v>218</v>
      </c>
      <c r="G50" s="147"/>
      <c r="H50" s="295"/>
      <c r="I50" s="166">
        <v>72000</v>
      </c>
      <c r="J50" s="432">
        <v>0</v>
      </c>
      <c r="K50" s="428">
        <v>13920</v>
      </c>
      <c r="L50" s="157">
        <v>0</v>
      </c>
      <c r="M50" s="157">
        <v>0</v>
      </c>
      <c r="N50" s="304">
        <v>13920</v>
      </c>
      <c r="O50" s="159">
        <v>1160</v>
      </c>
      <c r="P50" s="160">
        <v>0</v>
      </c>
      <c r="Q50" s="167">
        <v>13920</v>
      </c>
      <c r="R50" s="162"/>
      <c r="S50" s="255">
        <v>13920</v>
      </c>
      <c r="T50" s="305">
        <v>0</v>
      </c>
      <c r="U50" s="305">
        <v>1160</v>
      </c>
      <c r="V50" s="305">
        <v>1160</v>
      </c>
      <c r="W50" s="256">
        <v>0</v>
      </c>
      <c r="X50" s="446">
        <v>2757.7200000000003</v>
      </c>
      <c r="Y50" s="163"/>
      <c r="Z50" s="163">
        <v>0</v>
      </c>
    </row>
    <row r="51" spans="1:26">
      <c r="A51" s="168">
        <v>8504191</v>
      </c>
      <c r="B51" s="306" t="s">
        <v>177</v>
      </c>
      <c r="C51" s="147" t="s">
        <v>186</v>
      </c>
      <c r="D51" s="147" t="s">
        <v>217</v>
      </c>
      <c r="E51" s="165">
        <v>24.916666666666664</v>
      </c>
      <c r="F51" s="147" t="s">
        <v>218</v>
      </c>
      <c r="G51" s="147" t="s">
        <v>130</v>
      </c>
      <c r="H51" s="295"/>
      <c r="I51" s="166">
        <v>149500</v>
      </c>
      <c r="J51" s="432">
        <v>23666.666666666672</v>
      </c>
      <c r="K51" s="428">
        <v>12663.333333333334</v>
      </c>
      <c r="L51" s="157">
        <v>157079.99999999997</v>
      </c>
      <c r="M51" s="157">
        <v>0</v>
      </c>
      <c r="N51" s="304">
        <v>169743.33333333331</v>
      </c>
      <c r="O51" s="159">
        <v>6812.4414715719058</v>
      </c>
      <c r="P51" s="160">
        <v>0</v>
      </c>
      <c r="Q51" s="167">
        <v>169743.33333333331</v>
      </c>
      <c r="R51" s="162"/>
      <c r="S51" s="255">
        <v>169743.33333333331</v>
      </c>
      <c r="T51" s="305">
        <v>0</v>
      </c>
      <c r="U51" s="305">
        <v>6812.4414715719058</v>
      </c>
      <c r="V51" s="305">
        <v>6812.4414715719058</v>
      </c>
      <c r="W51" s="256">
        <v>0</v>
      </c>
      <c r="X51" s="446">
        <v>7315.7824999999993</v>
      </c>
      <c r="Y51" s="163"/>
      <c r="Z51" s="163">
        <v>0</v>
      </c>
    </row>
    <row r="52" spans="1:26">
      <c r="A52" s="168">
        <v>8504203</v>
      </c>
      <c r="B52" s="306" t="s">
        <v>39</v>
      </c>
      <c r="C52" s="147" t="s">
        <v>186</v>
      </c>
      <c r="D52" s="147" t="s">
        <v>217</v>
      </c>
      <c r="E52" s="165">
        <v>5</v>
      </c>
      <c r="F52" s="147" t="s">
        <v>215</v>
      </c>
      <c r="G52" s="147"/>
      <c r="H52" s="295"/>
      <c r="I52" s="166">
        <v>30000</v>
      </c>
      <c r="J52" s="432">
        <v>8000</v>
      </c>
      <c r="K52" s="428">
        <v>29830</v>
      </c>
      <c r="L52" s="157">
        <v>26040.309999999998</v>
      </c>
      <c r="M52" s="157">
        <v>0</v>
      </c>
      <c r="N52" s="304">
        <v>55870.31</v>
      </c>
      <c r="O52" s="159">
        <v>11174.062</v>
      </c>
      <c r="P52" s="160">
        <v>0</v>
      </c>
      <c r="Q52" s="167">
        <v>55870.31</v>
      </c>
      <c r="R52" s="162"/>
      <c r="S52" s="255">
        <v>55870.31</v>
      </c>
      <c r="T52" s="305">
        <v>0</v>
      </c>
      <c r="U52" s="305">
        <v>11174.062</v>
      </c>
      <c r="V52" s="305">
        <v>11174.062</v>
      </c>
      <c r="W52" s="256">
        <v>0</v>
      </c>
      <c r="X52" s="446">
        <v>1920.4999999999998</v>
      </c>
      <c r="Y52" s="163"/>
      <c r="Z52" s="163">
        <v>0</v>
      </c>
    </row>
    <row r="53" spans="1:26">
      <c r="A53" s="168">
        <v>8504206</v>
      </c>
      <c r="B53" s="306" t="s">
        <v>40</v>
      </c>
      <c r="C53" s="147" t="s">
        <v>186</v>
      </c>
      <c r="D53" s="147" t="s">
        <v>217</v>
      </c>
      <c r="E53" s="165">
        <v>17.666666666666664</v>
      </c>
      <c r="F53" s="147" t="s">
        <v>218</v>
      </c>
      <c r="G53" s="147"/>
      <c r="H53" s="295"/>
      <c r="I53" s="166">
        <v>105999.99999999999</v>
      </c>
      <c r="J53" s="432">
        <v>0</v>
      </c>
      <c r="K53" s="428">
        <v>20493.333333333336</v>
      </c>
      <c r="L53" s="157">
        <v>0</v>
      </c>
      <c r="M53" s="157">
        <v>0</v>
      </c>
      <c r="N53" s="304">
        <v>20493.333333333336</v>
      </c>
      <c r="O53" s="159">
        <v>1160.0000000000002</v>
      </c>
      <c r="P53" s="160">
        <v>0</v>
      </c>
      <c r="Q53" s="167">
        <v>20493.333333333336</v>
      </c>
      <c r="R53" s="162"/>
      <c r="S53" s="255">
        <v>20493.333333333336</v>
      </c>
      <c r="T53" s="305">
        <v>0</v>
      </c>
      <c r="U53" s="305">
        <v>1160.0000000000002</v>
      </c>
      <c r="V53" s="305">
        <v>1160.0000000000002</v>
      </c>
      <c r="W53" s="256">
        <v>0</v>
      </c>
      <c r="X53" s="446">
        <v>4059.976666666666</v>
      </c>
      <c r="Y53" s="163"/>
      <c r="Z53" s="163">
        <v>0</v>
      </c>
    </row>
    <row r="54" spans="1:26">
      <c r="A54" s="168">
        <v>8504308</v>
      </c>
      <c r="B54" s="306" t="s">
        <v>41</v>
      </c>
      <c r="C54" s="147" t="s">
        <v>188</v>
      </c>
      <c r="D54" s="147" t="s">
        <v>217</v>
      </c>
      <c r="E54" s="165">
        <v>6</v>
      </c>
      <c r="F54" s="147" t="s">
        <v>215</v>
      </c>
      <c r="G54" s="147"/>
      <c r="H54" s="295"/>
      <c r="I54" s="166">
        <v>36000</v>
      </c>
      <c r="J54" s="432">
        <v>12000</v>
      </c>
      <c r="K54" s="428">
        <v>35796</v>
      </c>
      <c r="L54" s="157">
        <v>0</v>
      </c>
      <c r="M54" s="157">
        <v>0</v>
      </c>
      <c r="N54" s="304">
        <v>35796</v>
      </c>
      <c r="O54" s="159">
        <v>5966</v>
      </c>
      <c r="P54" s="160">
        <v>15066</v>
      </c>
      <c r="Q54" s="167">
        <v>50862</v>
      </c>
      <c r="R54" s="162"/>
      <c r="S54" s="255">
        <v>50862</v>
      </c>
      <c r="T54" s="305">
        <v>0</v>
      </c>
      <c r="U54" s="305">
        <v>8477</v>
      </c>
      <c r="V54" s="305">
        <v>8477</v>
      </c>
      <c r="W54" s="256">
        <v>0</v>
      </c>
      <c r="X54" s="446">
        <v>3806.16</v>
      </c>
      <c r="Y54" s="163"/>
      <c r="Z54" s="163">
        <v>2511</v>
      </c>
    </row>
    <row r="55" spans="1:26">
      <c r="A55" s="168">
        <v>8504310</v>
      </c>
      <c r="B55" s="306" t="s">
        <v>42</v>
      </c>
      <c r="C55" s="147" t="s">
        <v>186</v>
      </c>
      <c r="D55" s="147" t="s">
        <v>217</v>
      </c>
      <c r="E55" s="165">
        <v>8.5</v>
      </c>
      <c r="F55" s="147" t="s">
        <v>220</v>
      </c>
      <c r="G55" s="147"/>
      <c r="H55" s="295"/>
      <c r="I55" s="166">
        <v>51000</v>
      </c>
      <c r="J55" s="432">
        <v>10000</v>
      </c>
      <c r="K55" s="428">
        <v>121397</v>
      </c>
      <c r="L55" s="157">
        <v>0</v>
      </c>
      <c r="M55" s="157">
        <v>0</v>
      </c>
      <c r="N55" s="304">
        <v>121397</v>
      </c>
      <c r="O55" s="159">
        <v>14282</v>
      </c>
      <c r="P55" s="160">
        <v>0</v>
      </c>
      <c r="Q55" s="167">
        <v>121397</v>
      </c>
      <c r="R55" s="162"/>
      <c r="S55" s="255">
        <v>121397</v>
      </c>
      <c r="T55" s="305">
        <v>0</v>
      </c>
      <c r="U55" s="305">
        <v>14282</v>
      </c>
      <c r="V55" s="305">
        <v>14282</v>
      </c>
      <c r="W55" s="256">
        <v>0</v>
      </c>
      <c r="X55" s="446">
        <v>4757.875</v>
      </c>
      <c r="Y55" s="163"/>
      <c r="Z55" s="163">
        <v>0</v>
      </c>
    </row>
    <row r="56" spans="1:26">
      <c r="A56" s="168">
        <v>8504511</v>
      </c>
      <c r="B56" s="306" t="s">
        <v>43</v>
      </c>
      <c r="C56" s="147" t="s">
        <v>188</v>
      </c>
      <c r="D56" s="147" t="s">
        <v>217</v>
      </c>
      <c r="E56" s="165">
        <v>12</v>
      </c>
      <c r="F56" s="147" t="s">
        <v>141</v>
      </c>
      <c r="G56" s="147"/>
      <c r="H56" s="295"/>
      <c r="I56" s="166">
        <v>72000</v>
      </c>
      <c r="J56" s="432">
        <v>0</v>
      </c>
      <c r="K56" s="428">
        <v>118944</v>
      </c>
      <c r="L56" s="157">
        <v>0</v>
      </c>
      <c r="M56" s="157">
        <v>0</v>
      </c>
      <c r="N56" s="304">
        <v>118944</v>
      </c>
      <c r="O56" s="159">
        <v>9912</v>
      </c>
      <c r="P56" s="160">
        <v>0</v>
      </c>
      <c r="Q56" s="167">
        <v>118944</v>
      </c>
      <c r="R56" s="162"/>
      <c r="S56" s="255">
        <v>118944</v>
      </c>
      <c r="T56" s="305">
        <v>0</v>
      </c>
      <c r="U56" s="305">
        <v>9912</v>
      </c>
      <c r="V56" s="305">
        <v>9912</v>
      </c>
      <c r="W56" s="256">
        <v>0</v>
      </c>
      <c r="X56" s="446">
        <v>6129</v>
      </c>
      <c r="Y56" s="163"/>
      <c r="Z56" s="163">
        <v>0</v>
      </c>
    </row>
    <row r="57" spans="1:26">
      <c r="A57" s="168">
        <v>8505205</v>
      </c>
      <c r="B57" s="306" t="s">
        <v>178</v>
      </c>
      <c r="C57" s="147" t="s">
        <v>188</v>
      </c>
      <c r="D57" s="147" t="s">
        <v>212</v>
      </c>
      <c r="E57" s="165">
        <v>0</v>
      </c>
      <c r="F57" s="147" t="s">
        <v>130</v>
      </c>
      <c r="G57" s="147"/>
      <c r="H57" s="295"/>
      <c r="I57" s="166">
        <v>0</v>
      </c>
      <c r="J57" s="432">
        <v>0</v>
      </c>
      <c r="K57" s="428">
        <v>0</v>
      </c>
      <c r="L57" s="157">
        <v>0</v>
      </c>
      <c r="M57" s="157">
        <v>0</v>
      </c>
      <c r="N57" s="304">
        <v>0</v>
      </c>
      <c r="O57" s="159">
        <v>0</v>
      </c>
      <c r="P57" s="160">
        <v>0</v>
      </c>
      <c r="Q57" s="167">
        <v>0</v>
      </c>
      <c r="R57" s="162"/>
      <c r="S57" s="255">
        <v>0</v>
      </c>
      <c r="T57" s="305">
        <v>0</v>
      </c>
      <c r="U57" s="305">
        <v>0</v>
      </c>
      <c r="V57" s="305">
        <v>0</v>
      </c>
      <c r="W57" s="256">
        <v>0</v>
      </c>
      <c r="X57" s="446">
        <v>0</v>
      </c>
      <c r="Y57" s="163"/>
      <c r="Z57" s="163" t="e">
        <v>#DIV/0!</v>
      </c>
    </row>
    <row r="58" spans="1:26">
      <c r="A58" s="168">
        <v>8505208</v>
      </c>
      <c r="B58" s="306" t="s">
        <v>44</v>
      </c>
      <c r="C58" s="147" t="s">
        <v>186</v>
      </c>
      <c r="D58" s="147" t="s">
        <v>212</v>
      </c>
      <c r="E58" s="165">
        <v>14.000000000000002</v>
      </c>
      <c r="F58" s="147" t="s">
        <v>143</v>
      </c>
      <c r="G58" s="147"/>
      <c r="H58" s="295"/>
      <c r="I58" s="166">
        <v>84000.000000000015</v>
      </c>
      <c r="J58" s="432">
        <v>0</v>
      </c>
      <c r="K58" s="428">
        <v>19306</v>
      </c>
      <c r="L58" s="157">
        <v>0</v>
      </c>
      <c r="M58" s="157">
        <v>0</v>
      </c>
      <c r="N58" s="304">
        <v>19306</v>
      </c>
      <c r="O58" s="159">
        <v>1378.9999999999998</v>
      </c>
      <c r="P58" s="160">
        <v>0</v>
      </c>
      <c r="Q58" s="167">
        <v>19306</v>
      </c>
      <c r="R58" s="162"/>
      <c r="S58" s="255">
        <v>19306</v>
      </c>
      <c r="T58" s="305">
        <v>0</v>
      </c>
      <c r="U58" s="305">
        <v>1378.9999999999998</v>
      </c>
      <c r="V58" s="305">
        <v>1378.9999999999998</v>
      </c>
      <c r="W58" s="256">
        <v>0</v>
      </c>
      <c r="X58" s="446">
        <v>3998.5400000000009</v>
      </c>
      <c r="Y58" s="163"/>
      <c r="Z58" s="163">
        <v>0</v>
      </c>
    </row>
    <row r="59" spans="1:26">
      <c r="A59" s="168">
        <v>8505405</v>
      </c>
      <c r="B59" s="306" t="s">
        <v>45</v>
      </c>
      <c r="C59" s="147" t="s">
        <v>188</v>
      </c>
      <c r="D59" s="147" t="s">
        <v>217</v>
      </c>
      <c r="E59" s="165">
        <v>12</v>
      </c>
      <c r="F59" s="147" t="s">
        <v>141</v>
      </c>
      <c r="G59" s="147"/>
      <c r="H59" s="295"/>
      <c r="I59" s="166">
        <v>72000</v>
      </c>
      <c r="J59" s="432">
        <v>0</v>
      </c>
      <c r="K59" s="428">
        <v>118944</v>
      </c>
      <c r="L59" s="157">
        <v>0</v>
      </c>
      <c r="M59" s="157">
        <v>0</v>
      </c>
      <c r="N59" s="304">
        <v>118944</v>
      </c>
      <c r="O59" s="159">
        <v>9912</v>
      </c>
      <c r="P59" s="160">
        <v>0</v>
      </c>
      <c r="Q59" s="167">
        <v>118944</v>
      </c>
      <c r="R59" s="162"/>
      <c r="S59" s="255">
        <v>118944</v>
      </c>
      <c r="T59" s="305">
        <v>0</v>
      </c>
      <c r="U59" s="305">
        <v>9912</v>
      </c>
      <c r="V59" s="305">
        <v>9912</v>
      </c>
      <c r="W59" s="256">
        <v>0</v>
      </c>
      <c r="X59" s="446">
        <v>6129</v>
      </c>
      <c r="Y59" s="163"/>
      <c r="Z59" s="163">
        <v>0</v>
      </c>
    </row>
    <row r="60" spans="1:26">
      <c r="A60" s="168">
        <v>8505412</v>
      </c>
      <c r="B60" s="306" t="s">
        <v>46</v>
      </c>
      <c r="C60" s="147" t="s">
        <v>186</v>
      </c>
      <c r="D60" s="147" t="s">
        <v>217</v>
      </c>
      <c r="E60" s="165">
        <v>18.25</v>
      </c>
      <c r="F60" s="147" t="s">
        <v>218</v>
      </c>
      <c r="G60" s="147" t="s">
        <v>141</v>
      </c>
      <c r="H60" s="295"/>
      <c r="I60" s="166">
        <v>109500</v>
      </c>
      <c r="J60" s="432">
        <v>5000</v>
      </c>
      <c r="K60" s="428">
        <v>17786.666666666668</v>
      </c>
      <c r="L60" s="157">
        <v>28909.999999999993</v>
      </c>
      <c r="M60" s="157">
        <v>0</v>
      </c>
      <c r="N60" s="304">
        <v>46696.666666666657</v>
      </c>
      <c r="O60" s="159">
        <v>2558.7214611872141</v>
      </c>
      <c r="P60" s="160">
        <v>0</v>
      </c>
      <c r="Q60" s="167">
        <v>46696.666666666657</v>
      </c>
      <c r="R60" s="162"/>
      <c r="S60" s="255">
        <v>46696.666666666657</v>
      </c>
      <c r="T60" s="305">
        <v>0</v>
      </c>
      <c r="U60" s="305">
        <v>2558.7214611872141</v>
      </c>
      <c r="V60" s="305">
        <v>2558.7214611872141</v>
      </c>
      <c r="W60" s="256">
        <v>0</v>
      </c>
      <c r="X60" s="446">
        <v>4194.0325000000003</v>
      </c>
      <c r="Y60" s="163"/>
      <c r="Z60" s="163">
        <v>0</v>
      </c>
    </row>
    <row r="61" spans="1:26" ht="15.75" thickBot="1">
      <c r="A61" s="169">
        <v>8505416</v>
      </c>
      <c r="B61" s="170" t="s">
        <v>181</v>
      </c>
      <c r="C61" s="171" t="s">
        <v>188</v>
      </c>
      <c r="D61" s="171" t="s">
        <v>217</v>
      </c>
      <c r="E61" s="172">
        <v>7</v>
      </c>
      <c r="F61" s="171" t="s">
        <v>130</v>
      </c>
      <c r="G61" s="171"/>
      <c r="H61" s="296"/>
      <c r="I61" s="173">
        <v>42000</v>
      </c>
      <c r="J61" s="433">
        <v>36000</v>
      </c>
      <c r="K61" s="429">
        <v>78540</v>
      </c>
      <c r="L61" s="174">
        <v>0</v>
      </c>
      <c r="M61" s="174">
        <v>0</v>
      </c>
      <c r="N61" s="175">
        <v>78540</v>
      </c>
      <c r="O61" s="176">
        <v>11220</v>
      </c>
      <c r="P61" s="177">
        <v>0</v>
      </c>
      <c r="Q61" s="178">
        <v>78540</v>
      </c>
      <c r="R61" s="162"/>
      <c r="S61" s="257">
        <v>78540</v>
      </c>
      <c r="T61" s="258">
        <v>0</v>
      </c>
      <c r="U61" s="258">
        <v>11220</v>
      </c>
      <c r="V61" s="258">
        <v>11220</v>
      </c>
      <c r="W61" s="259">
        <v>0</v>
      </c>
      <c r="X61" s="446">
        <v>2390.2199999999998</v>
      </c>
      <c r="Y61" s="163"/>
      <c r="Z61" s="163">
        <v>0</v>
      </c>
    </row>
    <row r="62" spans="1:26" ht="15.75" thickBot="1">
      <c r="A62" s="102"/>
      <c r="B62" s="179"/>
      <c r="C62" s="102"/>
      <c r="D62" s="180"/>
      <c r="E62" s="180"/>
      <c r="F62" s="180"/>
      <c r="G62" s="180"/>
      <c r="H62" s="180"/>
      <c r="I62" s="180"/>
      <c r="J62" s="180"/>
      <c r="K62" s="102"/>
      <c r="L62" s="102"/>
      <c r="M62" s="102"/>
      <c r="N62" s="102"/>
      <c r="O62" s="102"/>
      <c r="P62" s="181"/>
      <c r="Q62" s="43">
        <v>5240654.6366666658</v>
      </c>
      <c r="R62" s="42"/>
      <c r="S62" s="260">
        <v>5240654.6366666658</v>
      </c>
      <c r="T62" s="261">
        <v>0</v>
      </c>
      <c r="U62" s="261">
        <v>465847.60452300054</v>
      </c>
      <c r="V62" s="261">
        <v>465847.60452300054</v>
      </c>
      <c r="W62" s="262">
        <v>0</v>
      </c>
      <c r="X62" s="468">
        <v>275662.42916666658</v>
      </c>
      <c r="Y62" s="163"/>
      <c r="Z62" s="163"/>
    </row>
    <row r="63" spans="1:26" ht="30.75" thickBot="1">
      <c r="A63" s="102"/>
      <c r="B63" s="179"/>
      <c r="C63" s="102"/>
      <c r="D63" s="180"/>
      <c r="E63" s="180"/>
      <c r="F63" s="33" t="s">
        <v>114</v>
      </c>
      <c r="G63" s="51" t="s">
        <v>90</v>
      </c>
      <c r="H63" s="180"/>
      <c r="I63" s="180"/>
      <c r="J63" s="180"/>
      <c r="K63" s="102"/>
      <c r="L63" s="102"/>
      <c r="M63" s="102"/>
      <c r="N63" s="102"/>
      <c r="O63" s="102"/>
      <c r="P63" s="102"/>
      <c r="Q63" s="102"/>
      <c r="R63" s="102"/>
      <c r="S63" s="102"/>
      <c r="T63" s="102"/>
      <c r="U63" s="163"/>
      <c r="V63" s="163"/>
      <c r="W63" s="182"/>
      <c r="X63" s="163"/>
      <c r="Y63" s="163"/>
      <c r="Z63" s="163"/>
    </row>
    <row r="64" spans="1:26">
      <c r="A64" s="102"/>
      <c r="B64" s="102"/>
      <c r="C64" s="102"/>
      <c r="D64" s="102"/>
      <c r="E64" s="102"/>
      <c r="F64" s="153" t="s">
        <v>130</v>
      </c>
      <c r="G64" s="153"/>
      <c r="H64" s="102"/>
      <c r="I64" s="102"/>
      <c r="J64" s="102"/>
      <c r="K64" s="102"/>
      <c r="L64" s="102"/>
      <c r="M64" s="102"/>
      <c r="N64" s="102"/>
      <c r="O64"/>
      <c r="P64"/>
      <c r="Q64"/>
      <c r="R64"/>
      <c r="S64"/>
      <c r="T64"/>
      <c r="U64"/>
      <c r="V64" s="163"/>
      <c r="W64" s="182"/>
      <c r="X64" s="163"/>
      <c r="Y64" s="163"/>
      <c r="Z64" s="163"/>
    </row>
    <row r="65" spans="1:19" ht="15.75" thickBot="1">
      <c r="A65" s="102"/>
      <c r="B65" s="102"/>
      <c r="C65" s="102"/>
      <c r="D65" s="102"/>
      <c r="E65"/>
      <c r="F65"/>
      <c r="G65" t="s">
        <v>130</v>
      </c>
      <c r="H65"/>
      <c r="I65"/>
      <c r="J65"/>
      <c r="K65"/>
      <c r="L65"/>
      <c r="M65"/>
      <c r="N65" s="102"/>
      <c r="O65"/>
      <c r="P65"/>
      <c r="Q65"/>
      <c r="R65"/>
      <c r="S65" t="s">
        <v>183</v>
      </c>
    </row>
    <row r="66" spans="1:19" ht="16.5" thickBot="1">
      <c r="A66" s="102"/>
      <c r="B66" s="102"/>
      <c r="C66" s="102"/>
      <c r="D66" s="102"/>
      <c r="E66"/>
      <c r="F66"/>
      <c r="G66"/>
      <c r="H66"/>
      <c r="I66"/>
      <c r="J66"/>
      <c r="K66"/>
      <c r="L66"/>
      <c r="M66"/>
      <c r="N66" s="102"/>
      <c r="O66"/>
      <c r="P66"/>
      <c r="Q66"/>
      <c r="R66"/>
      <c r="S66" s="434">
        <v>17954.314442441722</v>
      </c>
    </row>
    <row r="67" spans="1:19" ht="15.75" thickBot="1">
      <c r="A67" s="102"/>
      <c r="B67" s="102"/>
      <c r="C67" s="102"/>
      <c r="D67" s="102"/>
      <c r="E67"/>
      <c r="F67"/>
      <c r="G67"/>
      <c r="H67"/>
      <c r="I67"/>
      <c r="J67"/>
      <c r="K67"/>
      <c r="L67"/>
      <c r="M67"/>
      <c r="N67" s="102"/>
      <c r="O67"/>
      <c r="P67"/>
      <c r="Q67"/>
      <c r="R67"/>
      <c r="S67"/>
    </row>
    <row r="68" spans="1:19">
      <c r="A68" s="102"/>
      <c r="B68" s="102"/>
      <c r="C68" s="102"/>
      <c r="D68" s="102"/>
      <c r="E68"/>
      <c r="F68"/>
      <c r="G68"/>
      <c r="H68"/>
      <c r="I68"/>
      <c r="J68"/>
      <c r="K68"/>
      <c r="L68"/>
      <c r="M68"/>
      <c r="N68" s="102"/>
      <c r="O68" s="437" t="s">
        <v>184</v>
      </c>
      <c r="P68" s="439"/>
      <c r="Q68" s="440"/>
      <c r="R68"/>
      <c r="S68"/>
    </row>
    <row r="69" spans="1:19">
      <c r="A69" s="102"/>
      <c r="B69" s="102"/>
      <c r="C69" s="102"/>
      <c r="D69" s="102"/>
      <c r="E69"/>
      <c r="F69"/>
      <c r="G69"/>
      <c r="H69"/>
      <c r="I69"/>
      <c r="J69"/>
      <c r="K69"/>
      <c r="L69"/>
      <c r="M69"/>
      <c r="N69" s="102"/>
      <c r="O69" s="438"/>
      <c r="P69" s="436"/>
      <c r="Q69" s="441"/>
      <c r="R69"/>
      <c r="S69"/>
    </row>
    <row r="70" spans="1:19">
      <c r="A70" s="180"/>
      <c r="B70" s="179"/>
      <c r="C70" s="180"/>
      <c r="D70" s="180"/>
      <c r="E70" s="76"/>
      <c r="F70" s="76"/>
      <c r="G70" s="76"/>
      <c r="H70" s="76"/>
      <c r="I70" s="76"/>
      <c r="J70" s="76"/>
      <c r="K70" s="76"/>
      <c r="L70" s="76"/>
      <c r="M70" s="76"/>
      <c r="N70" s="180"/>
      <c r="O70" s="438" t="s">
        <v>185</v>
      </c>
      <c r="P70" s="435"/>
      <c r="Q70" s="441"/>
      <c r="R70"/>
      <c r="S70"/>
    </row>
    <row r="71" spans="1:19">
      <c r="A71" s="180"/>
      <c r="B71" s="179"/>
      <c r="C71" s="180"/>
      <c r="D71" s="180"/>
      <c r="E71" s="76"/>
      <c r="F71" s="76"/>
      <c r="G71" s="76"/>
      <c r="H71" s="76"/>
      <c r="I71" s="79" t="s">
        <v>185</v>
      </c>
      <c r="J71" s="77">
        <v>50.166666666666664</v>
      </c>
      <c r="K71" s="76"/>
      <c r="L71" s="76"/>
      <c r="M71" s="76"/>
      <c r="N71" s="180"/>
      <c r="O71" s="438" t="s">
        <v>186</v>
      </c>
      <c r="P71" s="435">
        <v>2589339</v>
      </c>
      <c r="Q71" s="444">
        <v>1</v>
      </c>
      <c r="R71"/>
      <c r="S71"/>
    </row>
    <row r="72" spans="1:19">
      <c r="A72" s="102"/>
      <c r="B72" s="102"/>
      <c r="C72" s="102"/>
      <c r="D72" s="102"/>
      <c r="E72" s="102"/>
      <c r="F72" s="102"/>
      <c r="G72" s="102"/>
      <c r="H72" s="102"/>
      <c r="I72" s="78" t="s">
        <v>187</v>
      </c>
      <c r="J72" s="77">
        <v>54.583333333333336</v>
      </c>
      <c r="K72" s="102"/>
      <c r="L72" s="102"/>
      <c r="M72" s="102"/>
      <c r="N72" s="102"/>
      <c r="O72" s="438" t="s">
        <v>188</v>
      </c>
      <c r="P72" s="435">
        <v>0</v>
      </c>
      <c r="Q72" s="444">
        <v>0</v>
      </c>
      <c r="R72"/>
      <c r="S72"/>
    </row>
    <row r="73" spans="1:19">
      <c r="A73" s="102"/>
      <c r="B73" s="102"/>
      <c r="C73" s="102"/>
      <c r="D73" s="401" t="s">
        <v>479</v>
      </c>
      <c r="E73" s="102"/>
      <c r="F73" s="102"/>
      <c r="G73" s="102"/>
      <c r="H73" s="102"/>
      <c r="I73" s="151"/>
      <c r="J73" s="151"/>
      <c r="K73" s="102"/>
      <c r="L73" s="102"/>
      <c r="M73" s="102"/>
      <c r="N73" s="102"/>
      <c r="O73" s="438"/>
      <c r="P73" s="435">
        <v>2589339</v>
      </c>
      <c r="Q73" s="444"/>
      <c r="R73"/>
      <c r="S73"/>
    </row>
    <row r="74" spans="1:19">
      <c r="A74" s="102"/>
      <c r="B74" s="102"/>
      <c r="C74" s="102"/>
      <c r="D74" s="102" t="s">
        <v>110</v>
      </c>
      <c r="E74" s="102" t="s">
        <v>111</v>
      </c>
      <c r="F74" s="102" t="s">
        <v>222</v>
      </c>
      <c r="G74" s="102"/>
      <c r="H74" s="102"/>
      <c r="I74" s="151"/>
      <c r="J74" s="151"/>
      <c r="K74" s="102"/>
      <c r="L74" s="102"/>
      <c r="M74" s="102"/>
      <c r="N74" s="102"/>
      <c r="O74" s="438" t="s">
        <v>189</v>
      </c>
      <c r="P74" s="435"/>
      <c r="Q74" s="444"/>
      <c r="R74" s="102"/>
      <c r="S74" s="102"/>
    </row>
    <row r="75" spans="1:19">
      <c r="A75" s="102"/>
      <c r="B75" s="102"/>
      <c r="C75" s="102"/>
      <c r="D75" s="102">
        <v>8502005</v>
      </c>
      <c r="E75" s="102" t="s">
        <v>0</v>
      </c>
      <c r="F75" s="102">
        <v>277.92</v>
      </c>
      <c r="G75" s="102"/>
      <c r="H75" s="102"/>
      <c r="I75" s="151"/>
      <c r="J75" s="151"/>
      <c r="K75" s="102"/>
      <c r="L75" s="102"/>
      <c r="M75" s="102"/>
      <c r="N75" s="102"/>
      <c r="O75" s="438" t="s">
        <v>186</v>
      </c>
      <c r="P75" s="435">
        <v>1029476</v>
      </c>
      <c r="Q75" s="444">
        <v>0.56679313137519494</v>
      </c>
      <c r="R75"/>
      <c r="S75"/>
    </row>
    <row r="76" spans="1:19">
      <c r="A76" s="102"/>
      <c r="B76" s="102"/>
      <c r="C76" s="102"/>
      <c r="D76" s="102">
        <v>8502011</v>
      </c>
      <c r="E76" s="102" t="s">
        <v>1</v>
      </c>
      <c r="F76" s="102">
        <v>621.39</v>
      </c>
      <c r="G76" s="102"/>
      <c r="H76" s="102"/>
      <c r="I76" s="151"/>
      <c r="J76" s="151"/>
      <c r="K76" s="102"/>
      <c r="L76" s="102"/>
      <c r="M76" s="102"/>
      <c r="N76" s="102"/>
      <c r="O76" s="438" t="s">
        <v>188</v>
      </c>
      <c r="P76" s="435">
        <v>786841</v>
      </c>
      <c r="Q76" s="444">
        <v>0.43320686862480501</v>
      </c>
      <c r="R76"/>
      <c r="S76"/>
    </row>
    <row r="77" spans="1:19" ht="15.75" thickBot="1">
      <c r="A77" s="102"/>
      <c r="B77" s="102"/>
      <c r="C77" s="102"/>
      <c r="D77" s="102">
        <v>8502013</v>
      </c>
      <c r="E77" s="102" t="s">
        <v>2</v>
      </c>
      <c r="F77" s="102">
        <v>337.15999999999997</v>
      </c>
      <c r="G77" s="102"/>
      <c r="H77" s="102"/>
      <c r="I77" s="151"/>
      <c r="J77" s="151"/>
      <c r="K77" s="102"/>
      <c r="L77" s="102"/>
      <c r="M77" s="102"/>
      <c r="N77" s="102"/>
      <c r="O77" s="442"/>
      <c r="P77" s="443">
        <v>1816317</v>
      </c>
      <c r="Q77" s="445"/>
      <c r="R77"/>
      <c r="S77"/>
    </row>
    <row r="78" spans="1:19">
      <c r="A78" s="102"/>
      <c r="B78" s="102"/>
      <c r="C78" s="102"/>
      <c r="D78" s="102">
        <v>8502018</v>
      </c>
      <c r="E78" s="102" t="s">
        <v>3</v>
      </c>
      <c r="F78" s="102">
        <v>353.88</v>
      </c>
      <c r="G78" s="102"/>
      <c r="H78" s="102"/>
      <c r="I78" s="151"/>
      <c r="J78" s="151"/>
      <c r="K78" s="102"/>
      <c r="L78" s="102"/>
      <c r="M78" s="102"/>
      <c r="N78" s="102"/>
      <c r="O78"/>
      <c r="P78"/>
      <c r="Q78"/>
      <c r="R78"/>
      <c r="S78"/>
    </row>
    <row r="79" spans="1:19">
      <c r="A79" s="102"/>
      <c r="B79" s="102"/>
      <c r="C79" s="102"/>
      <c r="D79" s="102">
        <v>8502024</v>
      </c>
      <c r="E79" s="102" t="s">
        <v>4</v>
      </c>
      <c r="F79" s="102">
        <v>263.46999999999997</v>
      </c>
      <c r="G79" s="102"/>
      <c r="H79" s="102"/>
      <c r="I79" s="151"/>
      <c r="J79" s="151"/>
      <c r="K79" s="102"/>
      <c r="L79" s="102"/>
      <c r="M79" s="102"/>
      <c r="N79" s="102"/>
      <c r="O79"/>
      <c r="P79"/>
      <c r="Q79"/>
      <c r="R79"/>
      <c r="S79"/>
    </row>
    <row r="80" spans="1:19">
      <c r="A80" s="102"/>
      <c r="B80" s="102"/>
      <c r="C80" s="102"/>
      <c r="D80" s="102">
        <v>8502057</v>
      </c>
      <c r="E80" s="102" t="s">
        <v>5</v>
      </c>
      <c r="F80" s="102">
        <v>458.09</v>
      </c>
      <c r="G80" s="102"/>
      <c r="H80" s="102"/>
      <c r="I80" s="151"/>
      <c r="J80" s="151"/>
      <c r="K80" s="102"/>
      <c r="L80" s="102"/>
      <c r="M80" s="102"/>
      <c r="N80" s="102"/>
      <c r="O80"/>
      <c r="P80"/>
      <c r="Q80"/>
      <c r="R80"/>
      <c r="S80"/>
    </row>
    <row r="81" spans="4:6">
      <c r="D81" s="102">
        <v>8502062</v>
      </c>
      <c r="E81" s="102" t="s">
        <v>6</v>
      </c>
      <c r="F81" s="102">
        <v>357.51</v>
      </c>
    </row>
    <row r="82" spans="4:6">
      <c r="D82" s="102">
        <v>8502103</v>
      </c>
      <c r="E82" s="102" t="s">
        <v>8</v>
      </c>
      <c r="F82" s="102">
        <v>357.51</v>
      </c>
    </row>
    <row r="83" spans="4:6">
      <c r="D83" s="102">
        <v>8502111</v>
      </c>
      <c r="E83" s="102" t="s">
        <v>9</v>
      </c>
      <c r="F83" s="102">
        <v>410.08</v>
      </c>
    </row>
    <row r="84" spans="4:6">
      <c r="D84" s="102">
        <v>8502291</v>
      </c>
      <c r="E84" s="102" t="s">
        <v>159</v>
      </c>
      <c r="F84" s="102">
        <v>236.85</v>
      </c>
    </row>
    <row r="85" spans="4:6">
      <c r="D85" s="102">
        <v>8502127</v>
      </c>
      <c r="E85" s="102" t="s">
        <v>11</v>
      </c>
      <c r="F85" s="102">
        <v>236.85</v>
      </c>
    </row>
    <row r="86" spans="4:6">
      <c r="D86" s="102">
        <v>8502220</v>
      </c>
      <c r="E86" s="102" t="s">
        <v>12</v>
      </c>
      <c r="F86" s="102">
        <v>353.88</v>
      </c>
    </row>
    <row r="87" spans="4:6">
      <c r="D87" s="102">
        <v>8502228</v>
      </c>
      <c r="E87" s="102" t="s">
        <v>13</v>
      </c>
      <c r="F87" s="102">
        <v>338.38</v>
      </c>
    </row>
    <row r="88" spans="4:6">
      <c r="D88" s="102">
        <v>8502237</v>
      </c>
      <c r="E88" s="102" t="s">
        <v>14</v>
      </c>
      <c r="F88" s="102">
        <v>353.88</v>
      </c>
    </row>
    <row r="89" spans="4:6">
      <c r="D89" s="102">
        <v>8502347</v>
      </c>
      <c r="E89" s="102" t="s">
        <v>15</v>
      </c>
      <c r="F89" s="102">
        <v>760.38</v>
      </c>
    </row>
    <row r="90" spans="4:6">
      <c r="D90" s="102">
        <v>8502377</v>
      </c>
      <c r="E90" s="102" t="s">
        <v>16</v>
      </c>
      <c r="F90" s="102">
        <v>236.85</v>
      </c>
    </row>
    <row r="91" spans="4:6">
      <c r="D91" s="102">
        <v>8502520</v>
      </c>
      <c r="E91" s="102" t="s">
        <v>17</v>
      </c>
      <c r="F91" s="102">
        <v>729.17</v>
      </c>
    </row>
    <row r="92" spans="4:6">
      <c r="D92" s="102">
        <v>8502531</v>
      </c>
      <c r="E92" s="102" t="s">
        <v>18</v>
      </c>
      <c r="F92" s="102">
        <v>236.85</v>
      </c>
    </row>
    <row r="93" spans="4:6">
      <c r="D93" s="102">
        <v>8502533</v>
      </c>
      <c r="E93" s="102" t="s">
        <v>19</v>
      </c>
      <c r="F93" s="102">
        <v>353.88</v>
      </c>
    </row>
    <row r="94" spans="4:6">
      <c r="D94" s="102">
        <v>8502534</v>
      </c>
      <c r="E94" s="102" t="s">
        <v>20</v>
      </c>
      <c r="F94" s="102">
        <v>375.90999999999997</v>
      </c>
    </row>
    <row r="95" spans="4:6">
      <c r="D95" s="102">
        <v>8502732</v>
      </c>
      <c r="E95" s="102" t="s">
        <v>21</v>
      </c>
      <c r="F95" s="102">
        <v>729.17</v>
      </c>
    </row>
    <row r="96" spans="4:6">
      <c r="D96" s="102">
        <v>8502774</v>
      </c>
      <c r="E96" s="102" t="s">
        <v>22</v>
      </c>
      <c r="F96" s="102">
        <v>342.58</v>
      </c>
    </row>
    <row r="97" spans="4:6">
      <c r="D97" s="102">
        <v>8502776</v>
      </c>
      <c r="E97" s="102" t="s">
        <v>23</v>
      </c>
      <c r="F97" s="102">
        <v>357.51</v>
      </c>
    </row>
    <row r="98" spans="4:6">
      <c r="D98" s="102">
        <v>8502777</v>
      </c>
      <c r="E98" s="102" t="s">
        <v>24</v>
      </c>
      <c r="F98" s="102">
        <v>462.92</v>
      </c>
    </row>
    <row r="99" spans="4:6">
      <c r="D99" s="102">
        <v>8503101</v>
      </c>
      <c r="E99" s="102" t="s">
        <v>25</v>
      </c>
      <c r="F99" s="102">
        <v>671.95</v>
      </c>
    </row>
    <row r="100" spans="4:6">
      <c r="D100" s="102">
        <v>8503124</v>
      </c>
      <c r="E100" s="102" t="s">
        <v>223</v>
      </c>
      <c r="F100" s="102">
        <v>357.51</v>
      </c>
    </row>
    <row r="101" spans="4:6">
      <c r="D101" s="102">
        <v>8503404</v>
      </c>
      <c r="E101" s="102" t="s">
        <v>166</v>
      </c>
      <c r="F101" s="102">
        <v>729.17</v>
      </c>
    </row>
    <row r="102" spans="4:6">
      <c r="D102" s="102">
        <v>8503665</v>
      </c>
      <c r="E102" s="102" t="s">
        <v>26</v>
      </c>
      <c r="F102" s="102">
        <v>357.51</v>
      </c>
    </row>
    <row r="103" spans="4:6">
      <c r="D103" s="102">
        <v>8505208</v>
      </c>
      <c r="E103" s="102" t="s">
        <v>44</v>
      </c>
      <c r="F103" s="102">
        <v>285.61</v>
      </c>
    </row>
    <row r="104" spans="4:6">
      <c r="D104" s="102">
        <v>8504000</v>
      </c>
      <c r="E104" s="102" t="s">
        <v>27</v>
      </c>
      <c r="F104" s="102">
        <v>229.81</v>
      </c>
    </row>
    <row r="105" spans="4:6">
      <c r="D105" s="102">
        <v>8504007</v>
      </c>
      <c r="E105" s="102" t="s">
        <v>28</v>
      </c>
      <c r="F105" s="102">
        <v>284.75</v>
      </c>
    </row>
    <row r="106" spans="4:6">
      <c r="D106" s="102">
        <v>8504110</v>
      </c>
      <c r="E106" s="102" t="s">
        <v>29</v>
      </c>
      <c r="F106" s="102">
        <v>370.28</v>
      </c>
    </row>
    <row r="107" spans="4:6">
      <c r="D107" s="102">
        <v>8504113</v>
      </c>
      <c r="E107" s="102" t="s">
        <v>30</v>
      </c>
      <c r="F107" s="102">
        <v>641.04</v>
      </c>
    </row>
    <row r="108" spans="4:6">
      <c r="D108" s="102">
        <v>8504128</v>
      </c>
      <c r="E108" s="102" t="s">
        <v>31</v>
      </c>
      <c r="F108" s="102">
        <v>482.2</v>
      </c>
    </row>
    <row r="109" spans="4:6">
      <c r="D109" s="102">
        <v>8504130</v>
      </c>
      <c r="E109" s="102" t="s">
        <v>174</v>
      </c>
      <c r="F109" s="102">
        <v>341.5</v>
      </c>
    </row>
    <row r="110" spans="4:6">
      <c r="D110" s="102">
        <v>8504133</v>
      </c>
      <c r="E110" s="102" t="s">
        <v>32</v>
      </c>
      <c r="F110" s="102">
        <v>559.75</v>
      </c>
    </row>
    <row r="111" spans="4:6">
      <c r="D111" s="102">
        <v>8504143</v>
      </c>
      <c r="E111" s="102" t="s">
        <v>33</v>
      </c>
      <c r="F111" s="102">
        <v>510.75</v>
      </c>
    </row>
    <row r="112" spans="4:6">
      <c r="D112" s="102">
        <v>8504173</v>
      </c>
      <c r="E112" s="102" t="s">
        <v>34</v>
      </c>
      <c r="F112" s="102">
        <v>510.75</v>
      </c>
    </row>
    <row r="113" spans="4:6">
      <c r="D113" s="102">
        <v>8504174</v>
      </c>
      <c r="E113" s="102" t="s">
        <v>35</v>
      </c>
      <c r="F113" s="102">
        <v>384.09999999999997</v>
      </c>
    </row>
    <row r="114" spans="4:6">
      <c r="D114" s="102">
        <v>8504180</v>
      </c>
      <c r="E114" s="102" t="s">
        <v>36</v>
      </c>
      <c r="F114" s="102">
        <v>350.48</v>
      </c>
    </row>
    <row r="115" spans="4:6">
      <c r="D115" s="102">
        <v>8504164</v>
      </c>
      <c r="E115" s="102" t="s">
        <v>37</v>
      </c>
      <c r="F115" s="102">
        <v>229.81</v>
      </c>
    </row>
    <row r="116" spans="4:6">
      <c r="D116" s="102">
        <v>8504191</v>
      </c>
      <c r="E116" s="102" t="s">
        <v>177</v>
      </c>
      <c r="F116" s="102">
        <v>293.61</v>
      </c>
    </row>
    <row r="117" spans="4:6">
      <c r="D117" s="102">
        <v>8504203</v>
      </c>
      <c r="E117" s="102" t="s">
        <v>39</v>
      </c>
      <c r="F117" s="102">
        <v>384.09999999999997</v>
      </c>
    </row>
    <row r="118" spans="4:6">
      <c r="D118" s="102">
        <v>8504206</v>
      </c>
      <c r="E118" s="102" t="s">
        <v>40</v>
      </c>
      <c r="F118" s="102">
        <v>229.81</v>
      </c>
    </row>
    <row r="119" spans="4:6">
      <c r="D119" s="102">
        <v>8504308</v>
      </c>
      <c r="E119" s="102" t="s">
        <v>41</v>
      </c>
      <c r="F119" s="102">
        <v>634.36</v>
      </c>
    </row>
    <row r="120" spans="4:6">
      <c r="D120" s="102">
        <v>8504310</v>
      </c>
      <c r="E120" s="102" t="s">
        <v>42</v>
      </c>
      <c r="F120" s="102">
        <v>559.75</v>
      </c>
    </row>
    <row r="121" spans="4:6">
      <c r="D121" s="102">
        <v>8504511</v>
      </c>
      <c r="E121" s="102" t="s">
        <v>43</v>
      </c>
      <c r="F121" s="102">
        <v>510.75</v>
      </c>
    </row>
    <row r="122" spans="4:6">
      <c r="D122" s="102">
        <v>8505405</v>
      </c>
      <c r="E122" s="102" t="s">
        <v>45</v>
      </c>
      <c r="F122" s="102">
        <v>510.75</v>
      </c>
    </row>
    <row r="123" spans="4:6">
      <c r="D123" s="102">
        <v>8505412</v>
      </c>
      <c r="E123" s="102" t="s">
        <v>46</v>
      </c>
      <c r="F123" s="102">
        <v>229.81</v>
      </c>
    </row>
    <row r="124" spans="4:6">
      <c r="D124" s="102">
        <v>8505416</v>
      </c>
      <c r="E124" s="102" t="s">
        <v>181</v>
      </c>
      <c r="F124" s="102"/>
    </row>
  </sheetData>
  <autoFilter ref="A4:Z65" xr:uid="{1E509B29-2639-4FCE-B8E0-D33F8C45BFAD}"/>
  <conditionalFormatting sqref="T5:W61">
    <cfRule type="cellIs" dxfId="0" priority="1" operator="lessThan">
      <formula>0</formula>
    </cfRule>
  </conditionalFormatting>
  <hyperlinks>
    <hyperlink ref="D73" r:id="rId1" display="../../../../:x:/r/sites/ChildrensOperationalFinance-EducationFundingTeam-confidential/Shared Documents/Education Funding Team - confidential/2023-24 - Sch Fund - Budget Shares - Resourced Provisions WORKING.xlsx?d=wf72fea66e3724d3592662ec92d5db027&amp;csf=1&amp;web=1&amp;e=h7xzyl" xr:uid="{04D5A719-7496-454E-9C15-4F038CC758E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38A0C-DFF7-47A2-B21A-BCC9EA5E6847}">
  <sheetPr codeName="Sheet12" filterMode="1">
    <tabColor theme="6" tint="0.59999389629810485"/>
  </sheetPr>
  <dimension ref="A1:AL85"/>
  <sheetViews>
    <sheetView topLeftCell="F43" workbookViewId="0">
      <selection activeCell="E53" sqref="E53"/>
    </sheetView>
  </sheetViews>
  <sheetFormatPr defaultRowHeight="15"/>
  <cols>
    <col min="1" max="1" width="1.5703125" style="94" customWidth="1"/>
    <col min="2" max="2" width="18.5703125" style="98" customWidth="1"/>
    <col min="3" max="3" width="42.5703125" style="94" customWidth="1"/>
    <col min="4" max="4" width="11.5703125" style="94" bestFit="1" customWidth="1"/>
    <col min="5" max="5" width="24.42578125" style="94" customWidth="1"/>
    <col min="6" max="6" width="10.42578125" style="94" bestFit="1" customWidth="1"/>
    <col min="7" max="7" width="20" style="94" customWidth="1"/>
    <col min="8" max="24" width="6" style="96" customWidth="1"/>
    <col min="25" max="25" width="9.140625" style="97"/>
    <col min="26" max="26" width="9.140625" hidden="1" customWidth="1"/>
    <col min="27" max="27" width="19" customWidth="1"/>
    <col min="28" max="28" width="13.85546875" bestFit="1" customWidth="1"/>
    <col min="29" max="29" width="13.85546875" customWidth="1"/>
    <col min="30" max="32" width="15.140625" customWidth="1"/>
    <col min="33" max="33" width="37.42578125" bestFit="1" customWidth="1"/>
  </cols>
  <sheetData>
    <row r="1" spans="2:38" ht="15.75">
      <c r="B1" s="95" t="s">
        <v>480</v>
      </c>
      <c r="D1" s="245" t="s">
        <v>481</v>
      </c>
      <c r="F1" s="536" t="s">
        <v>481</v>
      </c>
      <c r="G1"/>
      <c r="Z1" s="94"/>
      <c r="AA1" s="94"/>
      <c r="AB1" s="94"/>
      <c r="AC1" s="94"/>
      <c r="AD1" s="94"/>
      <c r="AE1" s="94"/>
      <c r="AF1" s="94"/>
      <c r="AG1" s="94"/>
      <c r="AH1" s="94"/>
      <c r="AI1" s="94"/>
      <c r="AJ1" s="94"/>
      <c r="AK1" s="94"/>
      <c r="AL1" s="94"/>
    </row>
    <row r="2" spans="2:38" ht="18">
      <c r="B2" s="98" t="s">
        <v>482</v>
      </c>
      <c r="C2" s="456"/>
      <c r="D2" s="94" t="s">
        <v>483</v>
      </c>
      <c r="G2" s="320" t="s">
        <v>481</v>
      </c>
      <c r="Z2" s="94"/>
      <c r="AA2" s="94"/>
      <c r="AB2" s="94"/>
      <c r="AC2" s="94"/>
      <c r="AD2" s="94"/>
      <c r="AE2" s="94"/>
      <c r="AF2" s="94"/>
      <c r="AG2" s="94"/>
      <c r="AH2" s="94"/>
      <c r="AI2" s="94"/>
      <c r="AJ2" s="94"/>
      <c r="AK2" s="94"/>
      <c r="AL2" s="94"/>
    </row>
    <row r="3" spans="2:38">
      <c r="D3" s="242" t="s">
        <v>481</v>
      </c>
      <c r="Z3" s="94"/>
      <c r="AA3" s="94"/>
      <c r="AB3" s="94"/>
      <c r="AC3" s="94"/>
      <c r="AD3" s="94"/>
      <c r="AE3" s="94"/>
      <c r="AF3" s="94"/>
      <c r="AG3" s="94"/>
      <c r="AH3" s="94"/>
      <c r="AI3" s="94"/>
      <c r="AJ3" s="94"/>
      <c r="AK3" s="94"/>
      <c r="AL3" s="94"/>
    </row>
    <row r="4" spans="2:38" ht="120" customHeight="1">
      <c r="B4" s="99" t="s">
        <v>484</v>
      </c>
      <c r="Z4" s="94"/>
      <c r="AA4" s="652" t="s">
        <v>485</v>
      </c>
      <c r="AB4" s="652"/>
      <c r="AC4" s="652"/>
      <c r="AD4" s="94"/>
      <c r="AE4" s="10"/>
      <c r="AF4" s="243" t="s">
        <v>486</v>
      </c>
      <c r="AG4" s="94"/>
      <c r="AH4" s="94"/>
      <c r="AI4" s="94"/>
      <c r="AJ4" s="94"/>
      <c r="AK4" s="94"/>
      <c r="AL4" s="94"/>
    </row>
    <row r="5" spans="2:38" ht="15.75" thickBot="1">
      <c r="B5" s="100" t="s">
        <v>487</v>
      </c>
      <c r="C5" s="98" t="s">
        <v>488</v>
      </c>
      <c r="Z5" s="94"/>
      <c r="AA5" s="94"/>
      <c r="AB5" s="94"/>
      <c r="AC5" s="94"/>
      <c r="AD5" s="94"/>
      <c r="AE5" s="10" t="s">
        <v>186</v>
      </c>
      <c r="AF5" s="321" t="s">
        <v>489</v>
      </c>
      <c r="AG5" s="94"/>
      <c r="AH5" s="94"/>
      <c r="AI5" s="94"/>
      <c r="AJ5" s="94"/>
      <c r="AK5" s="94"/>
      <c r="AL5" s="94"/>
    </row>
    <row r="6" spans="2:38">
      <c r="B6" s="95" t="s">
        <v>481</v>
      </c>
      <c r="C6" s="244" t="s">
        <v>490</v>
      </c>
      <c r="G6" s="245"/>
      <c r="Z6" s="94"/>
      <c r="AA6" s="94"/>
      <c r="AB6" s="94"/>
      <c r="AC6" s="94"/>
      <c r="AD6" s="246" t="s">
        <v>185</v>
      </c>
      <c r="AE6" s="247">
        <v>164666.66666666666</v>
      </c>
      <c r="AF6" s="322" t="s">
        <v>491</v>
      </c>
      <c r="AG6" s="94"/>
      <c r="AH6" s="94"/>
      <c r="AI6" s="94"/>
      <c r="AJ6" s="94"/>
      <c r="AK6" s="94"/>
      <c r="AL6" s="94"/>
    </row>
    <row r="7" spans="2:38" ht="15.75" thickBot="1">
      <c r="B7" s="95"/>
      <c r="C7" s="248"/>
      <c r="G7" s="245"/>
      <c r="Z7" s="94"/>
      <c r="AA7" s="94"/>
      <c r="AB7" s="94"/>
      <c r="AC7" s="94"/>
      <c r="AD7" s="249" t="s">
        <v>187</v>
      </c>
      <c r="AE7" s="250">
        <f>112319.986666667+4*5/12*4000</f>
        <v>118986.65333333367</v>
      </c>
      <c r="AF7" s="323" t="s">
        <v>492</v>
      </c>
      <c r="AG7" s="94"/>
      <c r="AH7" s="94"/>
      <c r="AI7" s="94"/>
      <c r="AJ7" s="94"/>
      <c r="AK7" s="94"/>
      <c r="AL7" s="94"/>
    </row>
    <row r="8" spans="2:38">
      <c r="B8"/>
      <c r="C8"/>
      <c r="Z8" s="94"/>
      <c r="AA8" s="94"/>
      <c r="AB8" s="94"/>
      <c r="AC8" s="94"/>
      <c r="AD8" s="94"/>
      <c r="AE8" s="94"/>
      <c r="AF8" s="421" t="s">
        <v>493</v>
      </c>
      <c r="AG8" s="94"/>
      <c r="AH8" s="94"/>
      <c r="AI8" s="94"/>
      <c r="AJ8" s="94"/>
      <c r="AK8" s="94"/>
      <c r="AL8" s="94"/>
    </row>
    <row r="9" spans="2:38">
      <c r="D9" s="101" t="s">
        <v>494</v>
      </c>
      <c r="H9" s="651" t="s">
        <v>495</v>
      </c>
      <c r="I9" s="651"/>
      <c r="J9" s="651"/>
      <c r="K9" s="651"/>
      <c r="L9" s="651"/>
      <c r="M9" s="651"/>
      <c r="N9" s="651"/>
      <c r="O9" s="651"/>
      <c r="P9" s="651"/>
      <c r="Q9" s="651"/>
      <c r="R9" s="651"/>
      <c r="S9" s="651"/>
      <c r="T9" s="651"/>
      <c r="U9" s="651"/>
      <c r="V9" s="651"/>
      <c r="W9" s="651"/>
      <c r="X9" s="651"/>
      <c r="Y9" s="651"/>
      <c r="Z9" s="94"/>
      <c r="AA9" s="94"/>
      <c r="AB9" s="401" t="s">
        <v>496</v>
      </c>
      <c r="AC9" s="94"/>
      <c r="AD9" s="94"/>
      <c r="AE9" s="94"/>
      <c r="AF9" s="94"/>
      <c r="AG9" s="94"/>
      <c r="AH9" s="94"/>
      <c r="AI9" s="94"/>
      <c r="AJ9" s="94"/>
      <c r="AK9" s="94"/>
      <c r="AL9" s="94"/>
    </row>
    <row r="10" spans="2:38" ht="64.5">
      <c r="B10"/>
      <c r="C10"/>
      <c r="D10"/>
      <c r="E10"/>
      <c r="F10"/>
      <c r="G10"/>
      <c r="H10"/>
      <c r="I10"/>
      <c r="J10"/>
      <c r="K10"/>
      <c r="L10"/>
      <c r="M10"/>
      <c r="N10"/>
      <c r="O10"/>
      <c r="P10"/>
      <c r="Q10"/>
      <c r="R10"/>
      <c r="S10"/>
      <c r="T10"/>
      <c r="U10"/>
      <c r="V10"/>
      <c r="W10"/>
      <c r="X10"/>
      <c r="Y10"/>
      <c r="Z10" s="94"/>
      <c r="AA10" s="94"/>
      <c r="AB10" s="457" t="s">
        <v>497</v>
      </c>
      <c r="AC10" s="94"/>
      <c r="AD10" s="94"/>
      <c r="AE10" s="458" t="s">
        <v>498</v>
      </c>
      <c r="AF10" s="94"/>
      <c r="AG10" s="94"/>
      <c r="AH10" s="94"/>
      <c r="AI10" s="94"/>
      <c r="AJ10" s="94"/>
      <c r="AK10" s="94"/>
      <c r="AL10" s="94"/>
    </row>
    <row r="11" spans="2:38" ht="60">
      <c r="B11" s="459" t="s">
        <v>499</v>
      </c>
      <c r="C11" s="460" t="s">
        <v>500</v>
      </c>
      <c r="D11" s="460" t="s">
        <v>501</v>
      </c>
      <c r="E11" s="460" t="s">
        <v>502</v>
      </c>
      <c r="F11" s="460" t="s">
        <v>69</v>
      </c>
      <c r="G11" s="460" t="s">
        <v>503</v>
      </c>
      <c r="H11" s="324" t="s">
        <v>504</v>
      </c>
      <c r="I11" s="324" t="s">
        <v>505</v>
      </c>
      <c r="J11" s="324" t="s">
        <v>506</v>
      </c>
      <c r="K11" s="324">
        <v>1</v>
      </c>
      <c r="L11" s="324">
        <v>2</v>
      </c>
      <c r="M11" s="324">
        <v>3</v>
      </c>
      <c r="N11" s="324">
        <v>4</v>
      </c>
      <c r="O11" s="324">
        <v>5</v>
      </c>
      <c r="P11" s="324">
        <v>6</v>
      </c>
      <c r="Q11" s="324">
        <v>7</v>
      </c>
      <c r="R11" s="324">
        <v>8</v>
      </c>
      <c r="S11" s="324">
        <v>9</v>
      </c>
      <c r="T11" s="324">
        <v>10</v>
      </c>
      <c r="U11" s="324">
        <v>11</v>
      </c>
      <c r="V11" s="324">
        <v>12</v>
      </c>
      <c r="W11" s="324">
        <v>13</v>
      </c>
      <c r="X11" s="324" t="s">
        <v>507</v>
      </c>
      <c r="Y11" s="325" t="s">
        <v>508</v>
      </c>
      <c r="Z11" s="326" t="s">
        <v>500</v>
      </c>
      <c r="AA11" s="326" t="s">
        <v>500</v>
      </c>
      <c r="AB11" s="327" t="s">
        <v>509</v>
      </c>
      <c r="AC11" s="327" t="s">
        <v>510</v>
      </c>
      <c r="AD11" s="327" t="s">
        <v>511</v>
      </c>
      <c r="AE11" s="327" t="s">
        <v>512</v>
      </c>
      <c r="AF11" s="327" t="s">
        <v>513</v>
      </c>
      <c r="AG11" s="140"/>
      <c r="AH11" s="546" t="s">
        <v>514</v>
      </c>
      <c r="AI11" s="94"/>
      <c r="AJ11" s="94" t="s">
        <v>185</v>
      </c>
      <c r="AK11" s="94" t="s">
        <v>515</v>
      </c>
      <c r="AL11" s="94" t="s">
        <v>516</v>
      </c>
    </row>
    <row r="12" spans="2:38" ht="15.75" thickBot="1">
      <c r="B12" s="328">
        <v>8502005</v>
      </c>
      <c r="C12" s="329" t="s">
        <v>0</v>
      </c>
      <c r="D12" s="330" t="s">
        <v>517</v>
      </c>
      <c r="E12" s="330" t="s">
        <v>518</v>
      </c>
      <c r="F12" s="330" t="s">
        <v>185</v>
      </c>
      <c r="G12" s="330" t="s">
        <v>519</v>
      </c>
      <c r="H12" s="331">
        <v>0</v>
      </c>
      <c r="I12" s="331">
        <v>0</v>
      </c>
      <c r="J12" s="331">
        <v>8</v>
      </c>
      <c r="K12" s="331">
        <v>14</v>
      </c>
      <c r="L12" s="331">
        <v>10</v>
      </c>
      <c r="M12" s="331">
        <v>0</v>
      </c>
      <c r="N12" s="331">
        <v>0</v>
      </c>
      <c r="O12" s="331">
        <v>0</v>
      </c>
      <c r="P12" s="331">
        <v>0</v>
      </c>
      <c r="Q12" s="331">
        <v>0</v>
      </c>
      <c r="R12" s="331">
        <v>0</v>
      </c>
      <c r="S12" s="331">
        <v>0</v>
      </c>
      <c r="T12" s="331">
        <v>0</v>
      </c>
      <c r="U12" s="331">
        <v>0</v>
      </c>
      <c r="V12" s="331">
        <v>0</v>
      </c>
      <c r="W12" s="331">
        <v>0</v>
      </c>
      <c r="X12" s="331">
        <v>0</v>
      </c>
      <c r="Y12" s="332">
        <v>32</v>
      </c>
      <c r="Z12" s="333" t="s">
        <v>241</v>
      </c>
      <c r="AA12" s="333" t="s">
        <v>241</v>
      </c>
      <c r="AB12" s="587">
        <v>32</v>
      </c>
      <c r="AC12" s="417">
        <v>32</v>
      </c>
      <c r="AD12" s="418">
        <v>0</v>
      </c>
      <c r="AE12" s="418">
        <v>32</v>
      </c>
      <c r="AF12" s="336">
        <v>0</v>
      </c>
      <c r="AG12" s="140"/>
      <c r="AH12" s="422">
        <v>32</v>
      </c>
      <c r="AI12" s="94"/>
      <c r="AJ12" s="422">
        <v>32</v>
      </c>
      <c r="AK12" s="94"/>
      <c r="AL12" s="94"/>
    </row>
    <row r="13" spans="2:38" ht="15.75" thickBot="1">
      <c r="B13" s="328">
        <v>8502011</v>
      </c>
      <c r="C13" s="329" t="s">
        <v>1</v>
      </c>
      <c r="D13" s="537" t="s">
        <v>517</v>
      </c>
      <c r="E13" s="330" t="s">
        <v>520</v>
      </c>
      <c r="F13" s="538" t="s">
        <v>185</v>
      </c>
      <c r="G13" s="330" t="s">
        <v>519</v>
      </c>
      <c r="H13" s="331">
        <v>0</v>
      </c>
      <c r="I13" s="331">
        <v>0</v>
      </c>
      <c r="J13" s="331">
        <v>2</v>
      </c>
      <c r="K13" s="331">
        <v>0</v>
      </c>
      <c r="L13" s="331">
        <v>0</v>
      </c>
      <c r="M13" s="331">
        <v>1</v>
      </c>
      <c r="N13" s="331">
        <v>0</v>
      </c>
      <c r="O13" s="331">
        <v>1</v>
      </c>
      <c r="P13" s="331">
        <v>0</v>
      </c>
      <c r="Q13" s="331">
        <v>0</v>
      </c>
      <c r="R13" s="331">
        <v>0</v>
      </c>
      <c r="S13" s="331">
        <v>0</v>
      </c>
      <c r="T13" s="331">
        <v>0</v>
      </c>
      <c r="U13" s="331">
        <v>0</v>
      </c>
      <c r="V13" s="331">
        <v>0</v>
      </c>
      <c r="W13" s="331">
        <v>0</v>
      </c>
      <c r="X13" s="331">
        <v>0</v>
      </c>
      <c r="Y13" s="332">
        <v>4</v>
      </c>
      <c r="Z13" s="333" t="s">
        <v>273</v>
      </c>
      <c r="AA13" s="333" t="s">
        <v>273</v>
      </c>
      <c r="AB13" s="334">
        <v>6</v>
      </c>
      <c r="AC13" s="417">
        <v>4</v>
      </c>
      <c r="AD13" s="418">
        <v>2</v>
      </c>
      <c r="AE13" s="418">
        <v>1</v>
      </c>
      <c r="AF13" s="335">
        <v>2</v>
      </c>
      <c r="AG13" s="140"/>
      <c r="AH13" s="422">
        <v>4</v>
      </c>
      <c r="AI13" s="94" t="s">
        <v>386</v>
      </c>
      <c r="AJ13" s="422">
        <v>4</v>
      </c>
      <c r="AK13" s="94"/>
      <c r="AL13" s="94"/>
    </row>
    <row r="14" spans="2:38">
      <c r="B14" s="328">
        <v>8502013</v>
      </c>
      <c r="C14" s="329" t="s">
        <v>2</v>
      </c>
      <c r="D14" s="94" t="s">
        <v>517</v>
      </c>
      <c r="E14" s="337" t="s">
        <v>520</v>
      </c>
      <c r="F14" s="337" t="s">
        <v>185</v>
      </c>
      <c r="G14" s="330" t="s">
        <v>519</v>
      </c>
      <c r="H14" s="331">
        <v>0</v>
      </c>
      <c r="I14" s="331">
        <v>0</v>
      </c>
      <c r="J14" s="331">
        <v>0</v>
      </c>
      <c r="K14" s="331">
        <v>0</v>
      </c>
      <c r="L14" s="331">
        <v>0</v>
      </c>
      <c r="M14" s="331">
        <v>4</v>
      </c>
      <c r="N14" s="331">
        <v>5</v>
      </c>
      <c r="O14" s="331">
        <v>8</v>
      </c>
      <c r="P14" s="331">
        <v>7</v>
      </c>
      <c r="Q14" s="331">
        <v>1</v>
      </c>
      <c r="R14" s="331">
        <v>0</v>
      </c>
      <c r="S14" s="331">
        <v>0</v>
      </c>
      <c r="T14" s="331">
        <v>0</v>
      </c>
      <c r="U14" s="331">
        <v>0</v>
      </c>
      <c r="V14" s="331">
        <v>0</v>
      </c>
      <c r="W14" s="331">
        <v>0</v>
      </c>
      <c r="X14" s="331">
        <v>0</v>
      </c>
      <c r="Y14" s="332">
        <v>25</v>
      </c>
      <c r="Z14" s="333" t="s">
        <v>308</v>
      </c>
      <c r="AA14" s="333" t="s">
        <v>308</v>
      </c>
      <c r="AB14" s="334">
        <v>28</v>
      </c>
      <c r="AC14" s="417">
        <v>25</v>
      </c>
      <c r="AD14" s="418">
        <v>3</v>
      </c>
      <c r="AE14" s="418">
        <v>23</v>
      </c>
      <c r="AF14" s="335">
        <v>3</v>
      </c>
      <c r="AG14" s="251"/>
      <c r="AH14" s="422">
        <v>25</v>
      </c>
      <c r="AI14" s="94"/>
      <c r="AJ14" s="422">
        <v>25</v>
      </c>
      <c r="AK14" s="94"/>
      <c r="AL14" s="94"/>
    </row>
    <row r="15" spans="2:38">
      <c r="B15" s="328">
        <v>8502018</v>
      </c>
      <c r="C15" s="329" t="s">
        <v>3</v>
      </c>
      <c r="D15" s="94" t="s">
        <v>517</v>
      </c>
      <c r="E15" s="330" t="s">
        <v>521</v>
      </c>
      <c r="F15" s="337" t="s">
        <v>185</v>
      </c>
      <c r="G15" s="330" t="s">
        <v>519</v>
      </c>
      <c r="H15" s="331">
        <v>0</v>
      </c>
      <c r="I15" s="331">
        <v>0</v>
      </c>
      <c r="J15" s="331">
        <v>2</v>
      </c>
      <c r="K15" s="331">
        <v>0</v>
      </c>
      <c r="L15" s="331">
        <v>2</v>
      </c>
      <c r="M15" s="331">
        <v>2</v>
      </c>
      <c r="N15" s="331">
        <v>2</v>
      </c>
      <c r="O15" s="331">
        <v>3</v>
      </c>
      <c r="P15" s="331">
        <v>2</v>
      </c>
      <c r="Q15" s="331">
        <v>1</v>
      </c>
      <c r="R15" s="331">
        <v>0</v>
      </c>
      <c r="S15" s="331">
        <v>0</v>
      </c>
      <c r="T15" s="331">
        <v>0</v>
      </c>
      <c r="U15" s="331">
        <v>0</v>
      </c>
      <c r="V15" s="331">
        <v>0</v>
      </c>
      <c r="W15" s="331">
        <v>0</v>
      </c>
      <c r="X15" s="331">
        <v>0</v>
      </c>
      <c r="Y15" s="332">
        <v>14</v>
      </c>
      <c r="Z15" s="333" t="s">
        <v>314</v>
      </c>
      <c r="AA15" s="333" t="s">
        <v>314</v>
      </c>
      <c r="AB15" s="334">
        <v>14</v>
      </c>
      <c r="AC15" s="417">
        <v>14</v>
      </c>
      <c r="AD15" s="418">
        <v>0</v>
      </c>
      <c r="AE15" s="418">
        <v>14</v>
      </c>
      <c r="AF15" s="336">
        <v>0</v>
      </c>
      <c r="AG15" s="140" t="s">
        <v>522</v>
      </c>
      <c r="AH15" s="422">
        <v>14</v>
      </c>
      <c r="AI15" s="94"/>
      <c r="AJ15" s="422">
        <v>14</v>
      </c>
      <c r="AK15" s="94"/>
      <c r="AL15" s="94"/>
    </row>
    <row r="16" spans="2:38">
      <c r="B16" s="328">
        <v>8502030</v>
      </c>
      <c r="C16" s="329" t="s">
        <v>523</v>
      </c>
      <c r="D16" s="539" t="s">
        <v>517</v>
      </c>
      <c r="E16" s="337" t="s">
        <v>521</v>
      </c>
      <c r="F16" s="337" t="s">
        <v>185</v>
      </c>
      <c r="G16" s="330" t="s">
        <v>519</v>
      </c>
      <c r="H16" s="331">
        <v>0</v>
      </c>
      <c r="I16" s="331">
        <v>0</v>
      </c>
      <c r="J16" s="331">
        <v>0</v>
      </c>
      <c r="K16" s="331">
        <v>0</v>
      </c>
      <c r="L16" s="331">
        <v>0</v>
      </c>
      <c r="M16" s="331">
        <v>1</v>
      </c>
      <c r="N16" s="331">
        <v>2</v>
      </c>
      <c r="O16" s="331">
        <v>3</v>
      </c>
      <c r="P16" s="331">
        <v>3</v>
      </c>
      <c r="Q16" s="331">
        <v>0</v>
      </c>
      <c r="R16" s="331">
        <v>0</v>
      </c>
      <c r="S16" s="331">
        <v>0</v>
      </c>
      <c r="T16" s="331">
        <v>0</v>
      </c>
      <c r="U16" s="331">
        <v>0</v>
      </c>
      <c r="V16" s="331">
        <v>0</v>
      </c>
      <c r="W16" s="331">
        <v>0</v>
      </c>
      <c r="X16" s="331">
        <v>0</v>
      </c>
      <c r="Y16" s="332">
        <v>9</v>
      </c>
      <c r="Z16" s="333" t="e">
        <v>#N/A</v>
      </c>
      <c r="AA16" s="333" t="e">
        <v>#N/A</v>
      </c>
      <c r="AB16" s="334">
        <v>0</v>
      </c>
      <c r="AC16" s="419"/>
      <c r="AD16" s="419"/>
      <c r="AE16" s="418">
        <v>0</v>
      </c>
      <c r="AF16" s="339"/>
      <c r="AG16" s="252" t="s">
        <v>522</v>
      </c>
      <c r="AH16" s="422"/>
      <c r="AI16" s="94"/>
      <c r="AJ16" s="94"/>
      <c r="AK16" s="94"/>
      <c r="AL16" s="94"/>
    </row>
    <row r="17" spans="2:38">
      <c r="B17" s="328">
        <v>8502057</v>
      </c>
      <c r="C17" s="329" t="s">
        <v>5</v>
      </c>
      <c r="D17" s="94" t="s">
        <v>517</v>
      </c>
      <c r="E17" s="330" t="s">
        <v>518</v>
      </c>
      <c r="F17" s="337" t="s">
        <v>185</v>
      </c>
      <c r="G17" s="330" t="s">
        <v>519</v>
      </c>
      <c r="H17" s="331">
        <v>0</v>
      </c>
      <c r="I17" s="331">
        <v>0</v>
      </c>
      <c r="J17" s="331">
        <v>1</v>
      </c>
      <c r="K17" s="331">
        <v>1</v>
      </c>
      <c r="L17" s="331">
        <v>7</v>
      </c>
      <c r="M17" s="331">
        <v>0</v>
      </c>
      <c r="N17" s="331">
        <v>0</v>
      </c>
      <c r="O17" s="331">
        <v>0</v>
      </c>
      <c r="P17" s="331">
        <v>0</v>
      </c>
      <c r="Q17" s="331">
        <v>0</v>
      </c>
      <c r="R17" s="331">
        <v>0</v>
      </c>
      <c r="S17" s="331">
        <v>0</v>
      </c>
      <c r="T17" s="331">
        <v>0</v>
      </c>
      <c r="U17" s="331">
        <v>0</v>
      </c>
      <c r="V17" s="331">
        <v>0</v>
      </c>
      <c r="W17" s="331">
        <v>0</v>
      </c>
      <c r="X17" s="331">
        <v>0</v>
      </c>
      <c r="Y17" s="332">
        <v>9</v>
      </c>
      <c r="Z17" s="333" t="s">
        <v>329</v>
      </c>
      <c r="AA17" s="333" t="s">
        <v>329</v>
      </c>
      <c r="AB17" s="587">
        <v>24</v>
      </c>
      <c r="AC17" s="417">
        <v>23</v>
      </c>
      <c r="AD17" s="418">
        <v>0</v>
      </c>
      <c r="AE17" s="418">
        <v>27</v>
      </c>
      <c r="AF17" s="339">
        <v>0</v>
      </c>
      <c r="AG17" s="140" t="s">
        <v>522</v>
      </c>
      <c r="AH17" s="422">
        <v>23</v>
      </c>
      <c r="AI17" s="94"/>
      <c r="AJ17" s="422">
        <v>23</v>
      </c>
      <c r="AK17" s="94"/>
      <c r="AL17" s="94"/>
    </row>
    <row r="18" spans="2:38">
      <c r="B18" s="328">
        <v>8502062</v>
      </c>
      <c r="C18" s="329" t="s">
        <v>6</v>
      </c>
      <c r="D18" s="330" t="s">
        <v>517</v>
      </c>
      <c r="E18" s="330" t="s">
        <v>521</v>
      </c>
      <c r="F18" s="337" t="s">
        <v>185</v>
      </c>
      <c r="G18" s="330" t="s">
        <v>519</v>
      </c>
      <c r="H18" s="331">
        <v>0</v>
      </c>
      <c r="I18" s="331">
        <v>0</v>
      </c>
      <c r="J18" s="331">
        <v>0</v>
      </c>
      <c r="K18" s="331">
        <v>0</v>
      </c>
      <c r="L18" s="331">
        <v>1</v>
      </c>
      <c r="M18" s="331">
        <v>2</v>
      </c>
      <c r="N18" s="331">
        <v>3</v>
      </c>
      <c r="O18" s="331">
        <v>3</v>
      </c>
      <c r="P18" s="331">
        <v>2</v>
      </c>
      <c r="Q18" s="331">
        <v>0</v>
      </c>
      <c r="R18" s="331">
        <v>0</v>
      </c>
      <c r="S18" s="331">
        <v>0</v>
      </c>
      <c r="T18" s="331">
        <v>0</v>
      </c>
      <c r="U18" s="331">
        <v>0</v>
      </c>
      <c r="V18" s="331">
        <v>0</v>
      </c>
      <c r="W18" s="331">
        <v>0</v>
      </c>
      <c r="X18" s="331">
        <v>0</v>
      </c>
      <c r="Y18" s="332">
        <v>11</v>
      </c>
      <c r="Z18" s="333" t="s">
        <v>260</v>
      </c>
      <c r="AA18" s="333" t="s">
        <v>260</v>
      </c>
      <c r="AB18" s="334">
        <v>11</v>
      </c>
      <c r="AC18" s="417">
        <v>11</v>
      </c>
      <c r="AD18" s="418">
        <v>0</v>
      </c>
      <c r="AE18" s="418">
        <v>9</v>
      </c>
      <c r="AF18" s="335">
        <v>0</v>
      </c>
      <c r="AH18" s="422">
        <v>11</v>
      </c>
      <c r="AI18" s="94"/>
      <c r="AJ18" s="422">
        <v>11</v>
      </c>
      <c r="AK18" s="94"/>
      <c r="AL18" s="94"/>
    </row>
    <row r="19" spans="2:38">
      <c r="B19" s="328">
        <v>8502103</v>
      </c>
      <c r="C19" s="329" t="s">
        <v>8</v>
      </c>
      <c r="D19" s="330" t="s">
        <v>524</v>
      </c>
      <c r="E19" s="330" t="s">
        <v>525</v>
      </c>
      <c r="F19" s="337" t="s">
        <v>185</v>
      </c>
      <c r="G19" s="330" t="s">
        <v>519</v>
      </c>
      <c r="H19" s="331">
        <v>0</v>
      </c>
      <c r="I19" s="331">
        <v>0</v>
      </c>
      <c r="J19" s="331">
        <v>0</v>
      </c>
      <c r="K19" s="331">
        <v>0</v>
      </c>
      <c r="L19" s="331">
        <v>0</v>
      </c>
      <c r="M19" s="331">
        <v>0</v>
      </c>
      <c r="N19" s="331">
        <v>3</v>
      </c>
      <c r="O19" s="331">
        <v>3</v>
      </c>
      <c r="P19" s="331">
        <v>1</v>
      </c>
      <c r="Q19" s="331">
        <v>1</v>
      </c>
      <c r="R19" s="331">
        <v>0</v>
      </c>
      <c r="S19" s="331">
        <v>0</v>
      </c>
      <c r="T19" s="331">
        <v>0</v>
      </c>
      <c r="U19" s="331">
        <v>0</v>
      </c>
      <c r="V19" s="331">
        <v>0</v>
      </c>
      <c r="W19" s="331">
        <v>0</v>
      </c>
      <c r="X19" s="331">
        <v>0</v>
      </c>
      <c r="Y19" s="332">
        <v>8</v>
      </c>
      <c r="Z19" s="333" t="s">
        <v>326</v>
      </c>
      <c r="AA19" s="333" t="s">
        <v>326</v>
      </c>
      <c r="AB19" s="334">
        <v>8</v>
      </c>
      <c r="AC19" s="417">
        <v>8</v>
      </c>
      <c r="AD19" s="418">
        <v>0</v>
      </c>
      <c r="AE19" s="418">
        <v>8</v>
      </c>
      <c r="AF19" s="336">
        <v>0</v>
      </c>
      <c r="AG19" s="140" t="s">
        <v>522</v>
      </c>
      <c r="AH19" s="422">
        <v>8</v>
      </c>
      <c r="AI19" s="94"/>
      <c r="AJ19" s="422">
        <v>8</v>
      </c>
      <c r="AK19" s="94"/>
      <c r="AL19" s="94"/>
    </row>
    <row r="20" spans="2:38">
      <c r="B20" s="328">
        <v>8502111</v>
      </c>
      <c r="C20" s="329" t="s">
        <v>9</v>
      </c>
      <c r="D20" s="330" t="s">
        <v>517</v>
      </c>
      <c r="E20" s="330" t="s">
        <v>518</v>
      </c>
      <c r="F20" s="337" t="s">
        <v>185</v>
      </c>
      <c r="G20" s="330" t="s">
        <v>519</v>
      </c>
      <c r="H20" s="331">
        <v>0</v>
      </c>
      <c r="I20" s="331">
        <v>0</v>
      </c>
      <c r="J20" s="331">
        <v>0</v>
      </c>
      <c r="K20" s="331">
        <v>0</v>
      </c>
      <c r="L20" s="331">
        <v>0</v>
      </c>
      <c r="M20" s="331">
        <v>3</v>
      </c>
      <c r="N20" s="331">
        <v>2</v>
      </c>
      <c r="O20" s="331">
        <v>8</v>
      </c>
      <c r="P20" s="331">
        <v>5</v>
      </c>
      <c r="Q20" s="331">
        <v>1</v>
      </c>
      <c r="R20" s="331">
        <v>0</v>
      </c>
      <c r="S20" s="331">
        <v>0</v>
      </c>
      <c r="T20" s="331">
        <v>0</v>
      </c>
      <c r="U20" s="331">
        <v>0</v>
      </c>
      <c r="V20" s="331">
        <v>0</v>
      </c>
      <c r="W20" s="331">
        <v>0</v>
      </c>
      <c r="X20" s="331">
        <v>0</v>
      </c>
      <c r="Y20" s="332">
        <v>19</v>
      </c>
      <c r="Z20" s="333" t="s">
        <v>325</v>
      </c>
      <c r="AA20" s="333" t="s">
        <v>325</v>
      </c>
      <c r="AB20" s="334">
        <v>16</v>
      </c>
      <c r="AC20" s="417">
        <v>19</v>
      </c>
      <c r="AD20" s="418">
        <v>0</v>
      </c>
      <c r="AE20" s="418">
        <v>19</v>
      </c>
      <c r="AF20" s="336">
        <v>0</v>
      </c>
      <c r="AG20" s="140"/>
      <c r="AH20" s="422">
        <v>19</v>
      </c>
      <c r="AI20" s="94"/>
      <c r="AJ20" s="422">
        <v>19</v>
      </c>
      <c r="AK20" s="94"/>
      <c r="AL20" s="94"/>
    </row>
    <row r="21" spans="2:38">
      <c r="B21" s="328">
        <v>8502127</v>
      </c>
      <c r="C21" s="329" t="s">
        <v>11</v>
      </c>
      <c r="D21" s="330" t="s">
        <v>524</v>
      </c>
      <c r="E21" s="330" t="s">
        <v>526</v>
      </c>
      <c r="F21" s="337" t="s">
        <v>185</v>
      </c>
      <c r="G21" s="330" t="s">
        <v>519</v>
      </c>
      <c r="H21" s="331">
        <v>0</v>
      </c>
      <c r="I21" s="331">
        <v>0</v>
      </c>
      <c r="J21" s="331">
        <v>0</v>
      </c>
      <c r="K21" s="331">
        <v>0</v>
      </c>
      <c r="L21" s="331">
        <v>0</v>
      </c>
      <c r="M21" s="331">
        <v>3</v>
      </c>
      <c r="N21" s="331">
        <v>2</v>
      </c>
      <c r="O21" s="331">
        <v>2</v>
      </c>
      <c r="P21" s="331">
        <v>4</v>
      </c>
      <c r="Q21" s="331">
        <v>0</v>
      </c>
      <c r="R21" s="331">
        <v>0</v>
      </c>
      <c r="S21" s="331">
        <v>0</v>
      </c>
      <c r="T21" s="331">
        <v>0</v>
      </c>
      <c r="U21" s="331">
        <v>0</v>
      </c>
      <c r="V21" s="331">
        <v>0</v>
      </c>
      <c r="W21" s="331">
        <v>0</v>
      </c>
      <c r="X21" s="331">
        <v>0</v>
      </c>
      <c r="Y21" s="332">
        <v>11</v>
      </c>
      <c r="Z21" s="333" t="s">
        <v>287</v>
      </c>
      <c r="AA21" s="333" t="s">
        <v>287</v>
      </c>
      <c r="AB21" s="334">
        <v>12</v>
      </c>
      <c r="AC21" s="417">
        <v>11</v>
      </c>
      <c r="AD21" s="418">
        <v>1</v>
      </c>
      <c r="AE21" s="418">
        <v>9</v>
      </c>
      <c r="AF21" s="335">
        <v>1</v>
      </c>
      <c r="AG21" s="140"/>
      <c r="AH21" s="422">
        <v>11</v>
      </c>
      <c r="AI21" s="94"/>
      <c r="AJ21" s="422">
        <v>11</v>
      </c>
      <c r="AK21" s="94"/>
      <c r="AL21" s="94"/>
    </row>
    <row r="22" spans="2:38">
      <c r="B22" s="328">
        <v>8502137</v>
      </c>
      <c r="C22" s="329" t="s">
        <v>527</v>
      </c>
      <c r="D22" s="330" t="s">
        <v>517</v>
      </c>
      <c r="E22" s="330" t="s">
        <v>518</v>
      </c>
      <c r="F22" s="337" t="s">
        <v>185</v>
      </c>
      <c r="G22" s="330" t="s">
        <v>519</v>
      </c>
      <c r="H22" s="331">
        <v>0</v>
      </c>
      <c r="I22" s="331">
        <v>9</v>
      </c>
      <c r="J22" s="331">
        <v>0</v>
      </c>
      <c r="K22" s="331">
        <v>0</v>
      </c>
      <c r="L22" s="331">
        <v>0</v>
      </c>
      <c r="M22" s="331">
        <v>0</v>
      </c>
      <c r="N22" s="331">
        <v>0</v>
      </c>
      <c r="O22" s="331">
        <v>0</v>
      </c>
      <c r="P22" s="331">
        <v>0</v>
      </c>
      <c r="Q22" s="331">
        <v>0</v>
      </c>
      <c r="R22" s="331">
        <v>0</v>
      </c>
      <c r="S22" s="331">
        <v>0</v>
      </c>
      <c r="T22" s="331">
        <v>0</v>
      </c>
      <c r="U22" s="331">
        <v>0</v>
      </c>
      <c r="V22" s="331">
        <v>0</v>
      </c>
      <c r="W22" s="331">
        <v>0</v>
      </c>
      <c r="X22" s="331">
        <v>0</v>
      </c>
      <c r="Y22" s="332">
        <v>9</v>
      </c>
      <c r="Z22" s="333" t="e">
        <v>#N/A</v>
      </c>
      <c r="AA22" s="333" t="e">
        <v>#N/A</v>
      </c>
      <c r="AB22" s="334">
        <v>0</v>
      </c>
      <c r="AC22" s="417">
        <v>0</v>
      </c>
      <c r="AD22" s="418">
        <v>0</v>
      </c>
      <c r="AE22" s="418">
        <v>0</v>
      </c>
      <c r="AF22" s="339">
        <v>0</v>
      </c>
      <c r="AG22" s="140" t="s">
        <v>528</v>
      </c>
      <c r="AH22" s="422"/>
      <c r="AI22" s="94"/>
      <c r="AJ22" s="94"/>
      <c r="AK22" s="94"/>
      <c r="AL22" s="94"/>
    </row>
    <row r="23" spans="2:38">
      <c r="B23" s="328">
        <v>8502220</v>
      </c>
      <c r="C23" s="329" t="s">
        <v>12</v>
      </c>
      <c r="D23" s="94" t="s">
        <v>517</v>
      </c>
      <c r="E23" s="330" t="s">
        <v>529</v>
      </c>
      <c r="F23" s="337" t="s">
        <v>185</v>
      </c>
      <c r="G23" s="330" t="s">
        <v>519</v>
      </c>
      <c r="H23" s="331">
        <v>0</v>
      </c>
      <c r="I23" s="331">
        <v>0</v>
      </c>
      <c r="J23" s="331">
        <v>1</v>
      </c>
      <c r="K23" s="331">
        <v>1</v>
      </c>
      <c r="L23" s="331">
        <v>1</v>
      </c>
      <c r="M23" s="331">
        <v>1</v>
      </c>
      <c r="N23" s="331">
        <v>1</v>
      </c>
      <c r="O23" s="331">
        <v>3</v>
      </c>
      <c r="P23" s="331">
        <v>1</v>
      </c>
      <c r="Q23" s="331">
        <v>0</v>
      </c>
      <c r="R23" s="331">
        <v>0</v>
      </c>
      <c r="S23" s="331">
        <v>0</v>
      </c>
      <c r="T23" s="331">
        <v>0</v>
      </c>
      <c r="U23" s="331">
        <v>0</v>
      </c>
      <c r="V23" s="331">
        <v>0</v>
      </c>
      <c r="W23" s="331">
        <v>0</v>
      </c>
      <c r="X23" s="331">
        <v>0</v>
      </c>
      <c r="Y23" s="332">
        <v>9</v>
      </c>
      <c r="Z23" s="333" t="s">
        <v>328</v>
      </c>
      <c r="AA23" s="333" t="s">
        <v>328</v>
      </c>
      <c r="AB23" s="334">
        <v>12</v>
      </c>
      <c r="AC23" s="417">
        <v>9</v>
      </c>
      <c r="AD23" s="418">
        <v>3</v>
      </c>
      <c r="AE23" s="418">
        <v>9</v>
      </c>
      <c r="AF23" s="336">
        <v>3</v>
      </c>
      <c r="AG23" s="94"/>
      <c r="AH23" s="422">
        <v>9</v>
      </c>
      <c r="AI23" s="94"/>
      <c r="AJ23" s="422">
        <v>9</v>
      </c>
      <c r="AK23" s="94"/>
      <c r="AL23" s="94"/>
    </row>
    <row r="24" spans="2:38">
      <c r="B24" s="328">
        <v>8502228</v>
      </c>
      <c r="C24" s="329" t="s">
        <v>13</v>
      </c>
      <c r="D24" s="94" t="s">
        <v>517</v>
      </c>
      <c r="E24" s="330" t="s">
        <v>520</v>
      </c>
      <c r="F24" s="337" t="s">
        <v>185</v>
      </c>
      <c r="G24" s="330" t="s">
        <v>519</v>
      </c>
      <c r="H24" s="331">
        <v>0</v>
      </c>
      <c r="I24" s="331">
        <v>0</v>
      </c>
      <c r="J24" s="331">
        <v>6</v>
      </c>
      <c r="K24" s="331">
        <v>9</v>
      </c>
      <c r="L24" s="331">
        <v>6</v>
      </c>
      <c r="M24" s="331">
        <v>1</v>
      </c>
      <c r="N24" s="331">
        <v>0</v>
      </c>
      <c r="O24" s="331">
        <v>0</v>
      </c>
      <c r="P24" s="331">
        <v>0</v>
      </c>
      <c r="Q24" s="331">
        <v>0</v>
      </c>
      <c r="R24" s="331">
        <v>0</v>
      </c>
      <c r="S24" s="331">
        <v>0</v>
      </c>
      <c r="T24" s="331">
        <v>0</v>
      </c>
      <c r="U24" s="331">
        <v>0</v>
      </c>
      <c r="V24" s="331">
        <v>0</v>
      </c>
      <c r="W24" s="331">
        <v>0</v>
      </c>
      <c r="X24" s="331">
        <v>0</v>
      </c>
      <c r="Y24" s="332">
        <v>22</v>
      </c>
      <c r="Z24" s="333" t="s">
        <v>306</v>
      </c>
      <c r="AA24" s="333" t="s">
        <v>306</v>
      </c>
      <c r="AB24" s="334">
        <v>22</v>
      </c>
      <c r="AC24" s="417">
        <v>22</v>
      </c>
      <c r="AD24" s="418">
        <v>0</v>
      </c>
      <c r="AE24" s="418">
        <v>23</v>
      </c>
      <c r="AF24" s="339">
        <v>0</v>
      </c>
      <c r="AG24" s="204"/>
      <c r="AH24" s="422">
        <v>22</v>
      </c>
      <c r="AI24" s="94"/>
      <c r="AJ24" s="422">
        <v>22</v>
      </c>
      <c r="AK24" s="94"/>
      <c r="AL24" s="94"/>
    </row>
    <row r="25" spans="2:38">
      <c r="B25" s="328">
        <v>8502237</v>
      </c>
      <c r="C25" s="329" t="s">
        <v>14</v>
      </c>
      <c r="D25" s="94" t="s">
        <v>517</v>
      </c>
      <c r="E25" s="330" t="s">
        <v>521</v>
      </c>
      <c r="F25" s="337" t="s">
        <v>185</v>
      </c>
      <c r="G25" s="330" t="s">
        <v>519</v>
      </c>
      <c r="H25" s="340">
        <v>0</v>
      </c>
      <c r="I25" s="340">
        <v>0</v>
      </c>
      <c r="J25" s="340">
        <v>0</v>
      </c>
      <c r="K25" s="340">
        <v>1</v>
      </c>
      <c r="L25" s="340">
        <v>2</v>
      </c>
      <c r="M25" s="340">
        <v>2</v>
      </c>
      <c r="N25" s="340">
        <v>0</v>
      </c>
      <c r="O25" s="340">
        <v>2</v>
      </c>
      <c r="P25" s="340">
        <v>0</v>
      </c>
      <c r="Q25" s="340">
        <v>0</v>
      </c>
      <c r="R25" s="340">
        <v>0</v>
      </c>
      <c r="S25" s="340">
        <v>0</v>
      </c>
      <c r="T25" s="340">
        <v>0</v>
      </c>
      <c r="U25" s="340">
        <v>0</v>
      </c>
      <c r="V25" s="340">
        <v>0</v>
      </c>
      <c r="W25" s="340">
        <v>0</v>
      </c>
      <c r="X25" s="340">
        <v>0</v>
      </c>
      <c r="Y25" s="341">
        <v>7</v>
      </c>
      <c r="Z25" s="333" t="s">
        <v>278</v>
      </c>
      <c r="AA25" s="333" t="s">
        <v>278</v>
      </c>
      <c r="AB25" s="334">
        <v>8.5</v>
      </c>
      <c r="AC25" s="417">
        <v>7</v>
      </c>
      <c r="AD25" s="418">
        <v>1.5</v>
      </c>
      <c r="AE25" s="418">
        <v>7</v>
      </c>
      <c r="AF25" s="336">
        <v>0</v>
      </c>
      <c r="AG25" s="140" t="s">
        <v>522</v>
      </c>
      <c r="AH25" s="422">
        <v>7</v>
      </c>
      <c r="AI25" s="94"/>
      <c r="AJ25" s="422">
        <v>7</v>
      </c>
      <c r="AK25" s="94"/>
      <c r="AL25" s="94"/>
    </row>
    <row r="26" spans="2:38">
      <c r="B26" s="328">
        <v>8502274</v>
      </c>
      <c r="C26" s="329" t="s">
        <v>158</v>
      </c>
      <c r="D26" s="94" t="s">
        <v>517</v>
      </c>
      <c r="E26" s="337" t="s">
        <v>521</v>
      </c>
      <c r="F26" s="337" t="s">
        <v>185</v>
      </c>
      <c r="G26" s="330" t="s">
        <v>519</v>
      </c>
      <c r="H26" s="340">
        <v>0</v>
      </c>
      <c r="I26" s="340">
        <v>0</v>
      </c>
      <c r="J26" s="340">
        <v>0</v>
      </c>
      <c r="K26" s="340">
        <v>0</v>
      </c>
      <c r="L26" s="340">
        <v>0</v>
      </c>
      <c r="M26" s="340">
        <v>0</v>
      </c>
      <c r="N26" s="340">
        <v>0</v>
      </c>
      <c r="O26" s="340">
        <v>2</v>
      </c>
      <c r="P26" s="340">
        <v>0</v>
      </c>
      <c r="Q26" s="340">
        <v>0</v>
      </c>
      <c r="R26" s="340">
        <v>0</v>
      </c>
      <c r="S26" s="340">
        <v>0</v>
      </c>
      <c r="T26" s="340">
        <v>0</v>
      </c>
      <c r="U26" s="340">
        <v>0</v>
      </c>
      <c r="V26" s="340">
        <v>0</v>
      </c>
      <c r="W26" s="340">
        <v>0</v>
      </c>
      <c r="X26" s="340">
        <v>0</v>
      </c>
      <c r="Y26" s="341">
        <v>2</v>
      </c>
      <c r="Z26" s="333" t="s">
        <v>279</v>
      </c>
      <c r="AA26" s="333" t="s">
        <v>279</v>
      </c>
      <c r="AB26" s="334">
        <v>0</v>
      </c>
      <c r="AC26" s="419"/>
      <c r="AD26" s="419"/>
      <c r="AE26" s="418">
        <v>0</v>
      </c>
      <c r="AF26" s="339"/>
      <c r="AG26" s="252" t="s">
        <v>522</v>
      </c>
      <c r="AH26" s="422"/>
      <c r="AI26" s="94"/>
      <c r="AJ26" s="94"/>
      <c r="AK26" s="94"/>
      <c r="AL26" s="94"/>
    </row>
    <row r="27" spans="2:38">
      <c r="B27" s="328">
        <v>8502347</v>
      </c>
      <c r="C27" s="329" t="s">
        <v>15</v>
      </c>
      <c r="D27" s="94" t="s">
        <v>517</v>
      </c>
      <c r="E27" s="337" t="s">
        <v>521</v>
      </c>
      <c r="F27" s="337" t="s">
        <v>185</v>
      </c>
      <c r="G27" s="330" t="s">
        <v>519</v>
      </c>
      <c r="H27" s="340">
        <v>0</v>
      </c>
      <c r="I27" s="340">
        <v>0</v>
      </c>
      <c r="J27" s="340">
        <v>2</v>
      </c>
      <c r="K27" s="340">
        <v>2</v>
      </c>
      <c r="L27" s="340">
        <v>1</v>
      </c>
      <c r="M27" s="340">
        <v>1</v>
      </c>
      <c r="N27" s="340">
        <v>2</v>
      </c>
      <c r="O27" s="340">
        <v>0</v>
      </c>
      <c r="P27" s="340">
        <v>1</v>
      </c>
      <c r="Q27" s="340">
        <v>1</v>
      </c>
      <c r="R27" s="340">
        <v>0</v>
      </c>
      <c r="S27" s="340">
        <v>0</v>
      </c>
      <c r="T27" s="340">
        <v>0</v>
      </c>
      <c r="U27" s="340">
        <v>0</v>
      </c>
      <c r="V27" s="340">
        <v>0</v>
      </c>
      <c r="W27" s="340">
        <v>0</v>
      </c>
      <c r="X27" s="340">
        <v>0</v>
      </c>
      <c r="Y27" s="341">
        <v>10</v>
      </c>
      <c r="Z27" s="333" t="s">
        <v>285</v>
      </c>
      <c r="AA27" s="333" t="s">
        <v>285</v>
      </c>
      <c r="AB27" s="334">
        <v>9</v>
      </c>
      <c r="AC27" s="417">
        <v>10</v>
      </c>
      <c r="AD27" s="418">
        <v>0</v>
      </c>
      <c r="AE27" s="418">
        <v>10</v>
      </c>
      <c r="AF27" s="336">
        <v>0</v>
      </c>
      <c r="AH27" s="422">
        <v>10</v>
      </c>
      <c r="AI27" s="94" t="s">
        <v>386</v>
      </c>
      <c r="AJ27" s="422">
        <v>10</v>
      </c>
      <c r="AK27" s="94"/>
      <c r="AL27" s="94"/>
    </row>
    <row r="28" spans="2:38">
      <c r="B28" s="328">
        <v>8502377</v>
      </c>
      <c r="C28" s="329" t="s">
        <v>16</v>
      </c>
      <c r="D28" s="94" t="s">
        <v>517</v>
      </c>
      <c r="E28" s="337" t="s">
        <v>521</v>
      </c>
      <c r="F28" s="337" t="s">
        <v>185</v>
      </c>
      <c r="G28" s="330" t="s">
        <v>519</v>
      </c>
      <c r="H28" s="340">
        <v>0</v>
      </c>
      <c r="I28" s="340">
        <v>0</v>
      </c>
      <c r="J28" s="340">
        <v>0</v>
      </c>
      <c r="K28" s="340">
        <v>0</v>
      </c>
      <c r="L28" s="340">
        <v>0</v>
      </c>
      <c r="M28" s="340">
        <v>2</v>
      </c>
      <c r="N28" s="340">
        <v>1</v>
      </c>
      <c r="O28" s="340">
        <v>4</v>
      </c>
      <c r="P28" s="340">
        <v>3</v>
      </c>
      <c r="Q28" s="340">
        <v>0</v>
      </c>
      <c r="R28" s="340">
        <v>0</v>
      </c>
      <c r="S28" s="340">
        <v>0</v>
      </c>
      <c r="T28" s="340">
        <v>0</v>
      </c>
      <c r="U28" s="340">
        <v>0</v>
      </c>
      <c r="V28" s="340">
        <v>0</v>
      </c>
      <c r="W28" s="340">
        <v>0</v>
      </c>
      <c r="X28" s="340">
        <v>0</v>
      </c>
      <c r="Y28" s="341">
        <v>10</v>
      </c>
      <c r="Z28" s="333" t="s">
        <v>304</v>
      </c>
      <c r="AA28" s="333" t="s">
        <v>304</v>
      </c>
      <c r="AB28" s="334">
        <v>10</v>
      </c>
      <c r="AC28" s="417">
        <v>10</v>
      </c>
      <c r="AD28" s="418">
        <v>0</v>
      </c>
      <c r="AE28" s="418">
        <v>10</v>
      </c>
      <c r="AF28" s="336">
        <v>0</v>
      </c>
      <c r="AG28" s="94"/>
      <c r="AH28" s="422">
        <v>10</v>
      </c>
      <c r="AI28" s="94"/>
      <c r="AJ28" s="422">
        <v>10</v>
      </c>
      <c r="AK28" s="94"/>
      <c r="AL28" s="94"/>
    </row>
    <row r="29" spans="2:38">
      <c r="B29" s="328">
        <v>8502520</v>
      </c>
      <c r="C29" s="329" t="s">
        <v>17</v>
      </c>
      <c r="D29" s="330" t="s">
        <v>524</v>
      </c>
      <c r="E29" s="330" t="s">
        <v>530</v>
      </c>
      <c r="F29" s="337" t="s">
        <v>185</v>
      </c>
      <c r="G29" s="330" t="s">
        <v>519</v>
      </c>
      <c r="H29" s="340">
        <v>0</v>
      </c>
      <c r="I29" s="340">
        <v>0</v>
      </c>
      <c r="J29" s="340">
        <v>1</v>
      </c>
      <c r="K29" s="340">
        <v>0</v>
      </c>
      <c r="L29" s="340">
        <v>0</v>
      </c>
      <c r="M29" s="340">
        <v>1</v>
      </c>
      <c r="N29" s="340">
        <v>0</v>
      </c>
      <c r="O29" s="340">
        <v>0</v>
      </c>
      <c r="P29" s="340">
        <v>1</v>
      </c>
      <c r="Q29" s="340">
        <v>0</v>
      </c>
      <c r="R29" s="340">
        <v>0</v>
      </c>
      <c r="S29" s="340">
        <v>0</v>
      </c>
      <c r="T29" s="340">
        <v>0</v>
      </c>
      <c r="U29" s="340">
        <v>0</v>
      </c>
      <c r="V29" s="340">
        <v>0</v>
      </c>
      <c r="W29" s="340">
        <v>0</v>
      </c>
      <c r="X29" s="340">
        <v>0</v>
      </c>
      <c r="Y29" s="341">
        <v>3</v>
      </c>
      <c r="Z29" s="333" t="s">
        <v>288</v>
      </c>
      <c r="AA29" s="333" t="s">
        <v>288</v>
      </c>
      <c r="AB29" s="334">
        <v>6</v>
      </c>
      <c r="AC29" s="417">
        <v>3</v>
      </c>
      <c r="AD29" s="418">
        <v>3</v>
      </c>
      <c r="AE29" s="418">
        <v>3</v>
      </c>
      <c r="AF29" s="342">
        <v>3</v>
      </c>
      <c r="AG29" s="140" t="s">
        <v>522</v>
      </c>
      <c r="AH29" s="422">
        <v>3</v>
      </c>
      <c r="AI29" s="94" t="s">
        <v>386</v>
      </c>
      <c r="AJ29" s="422">
        <v>3</v>
      </c>
      <c r="AK29" s="94"/>
      <c r="AL29" s="94"/>
    </row>
    <row r="30" spans="2:38">
      <c r="B30" s="328">
        <v>8502524</v>
      </c>
      <c r="C30" s="329" t="s">
        <v>531</v>
      </c>
      <c r="D30" s="540" t="s">
        <v>524</v>
      </c>
      <c r="E30" s="337" t="s">
        <v>530</v>
      </c>
      <c r="F30" s="337" t="s">
        <v>185</v>
      </c>
      <c r="G30" s="330" t="s">
        <v>519</v>
      </c>
      <c r="H30" s="340">
        <v>0</v>
      </c>
      <c r="I30" s="340">
        <v>0</v>
      </c>
      <c r="J30" s="340">
        <v>1</v>
      </c>
      <c r="K30" s="340">
        <v>0</v>
      </c>
      <c r="L30" s="340">
        <v>0</v>
      </c>
      <c r="M30" s="340">
        <v>0</v>
      </c>
      <c r="N30" s="340">
        <v>0</v>
      </c>
      <c r="O30" s="340">
        <v>0</v>
      </c>
      <c r="P30" s="340">
        <v>0</v>
      </c>
      <c r="Q30" s="340">
        <v>0</v>
      </c>
      <c r="R30" s="340">
        <v>0</v>
      </c>
      <c r="S30" s="340">
        <v>0</v>
      </c>
      <c r="T30" s="340">
        <v>0</v>
      </c>
      <c r="U30" s="340">
        <v>0</v>
      </c>
      <c r="V30" s="340">
        <v>0</v>
      </c>
      <c r="W30" s="340">
        <v>0</v>
      </c>
      <c r="X30" s="340">
        <v>0</v>
      </c>
      <c r="Y30" s="341">
        <v>1</v>
      </c>
      <c r="Z30" s="333" t="e">
        <v>#N/A</v>
      </c>
      <c r="AA30" s="333" t="e">
        <v>#N/A</v>
      </c>
      <c r="AB30" s="334">
        <v>0</v>
      </c>
      <c r="AC30" s="419"/>
      <c r="AD30" s="419"/>
      <c r="AE30" s="418">
        <v>0</v>
      </c>
      <c r="AF30" s="339"/>
      <c r="AG30" s="252" t="s">
        <v>522</v>
      </c>
      <c r="AH30" s="422"/>
      <c r="AI30" s="94"/>
      <c r="AJ30" s="94"/>
      <c r="AK30" s="94"/>
      <c r="AL30" s="94"/>
    </row>
    <row r="31" spans="2:38">
      <c r="B31" s="328">
        <v>8502531</v>
      </c>
      <c r="C31" s="329" t="s">
        <v>18</v>
      </c>
      <c r="D31" s="94" t="s">
        <v>524</v>
      </c>
      <c r="E31" s="337" t="s">
        <v>530</v>
      </c>
      <c r="F31" s="337" t="s">
        <v>185</v>
      </c>
      <c r="G31" s="330" t="s">
        <v>519</v>
      </c>
      <c r="H31" s="340">
        <v>0</v>
      </c>
      <c r="I31" s="340">
        <v>0</v>
      </c>
      <c r="J31" s="340">
        <v>0</v>
      </c>
      <c r="K31" s="340">
        <v>0</v>
      </c>
      <c r="L31" s="340">
        <v>0</v>
      </c>
      <c r="M31" s="340">
        <v>1</v>
      </c>
      <c r="N31" s="340">
        <v>6</v>
      </c>
      <c r="O31" s="340">
        <v>7</v>
      </c>
      <c r="P31" s="340">
        <v>6</v>
      </c>
      <c r="Q31" s="340">
        <v>0</v>
      </c>
      <c r="R31" s="340">
        <v>0</v>
      </c>
      <c r="S31" s="340">
        <v>0</v>
      </c>
      <c r="T31" s="340">
        <v>0</v>
      </c>
      <c r="U31" s="340">
        <v>0</v>
      </c>
      <c r="V31" s="340">
        <v>0</v>
      </c>
      <c r="W31" s="340">
        <v>0</v>
      </c>
      <c r="X31" s="340">
        <v>0</v>
      </c>
      <c r="Y31" s="341">
        <v>20</v>
      </c>
      <c r="Z31" s="333" t="s">
        <v>305</v>
      </c>
      <c r="AA31" s="333" t="s">
        <v>305</v>
      </c>
      <c r="AB31" s="334">
        <v>20</v>
      </c>
      <c r="AC31" s="417">
        <v>20</v>
      </c>
      <c r="AD31" s="418">
        <v>0</v>
      </c>
      <c r="AE31" s="418">
        <v>20</v>
      </c>
      <c r="AF31" s="336">
        <v>0</v>
      </c>
      <c r="AG31" s="94"/>
      <c r="AH31" s="422">
        <v>20</v>
      </c>
      <c r="AI31" s="94"/>
      <c r="AJ31" s="422">
        <v>20</v>
      </c>
      <c r="AK31" s="94"/>
      <c r="AL31" s="94"/>
    </row>
    <row r="32" spans="2:38">
      <c r="B32" s="328">
        <v>8502533</v>
      </c>
      <c r="C32" s="329" t="s">
        <v>19</v>
      </c>
      <c r="D32" s="94" t="s">
        <v>524</v>
      </c>
      <c r="E32" s="337" t="s">
        <v>530</v>
      </c>
      <c r="F32" s="337" t="s">
        <v>185</v>
      </c>
      <c r="G32" s="330" t="s">
        <v>519</v>
      </c>
      <c r="H32" s="340">
        <v>0</v>
      </c>
      <c r="I32" s="340">
        <v>0</v>
      </c>
      <c r="J32" s="340">
        <v>0</v>
      </c>
      <c r="K32" s="340">
        <v>0</v>
      </c>
      <c r="L32" s="340">
        <v>0</v>
      </c>
      <c r="M32" s="340">
        <v>4</v>
      </c>
      <c r="N32" s="340">
        <v>6</v>
      </c>
      <c r="O32" s="340">
        <v>7</v>
      </c>
      <c r="P32" s="340">
        <v>4</v>
      </c>
      <c r="Q32" s="340">
        <v>0</v>
      </c>
      <c r="R32" s="340">
        <v>0</v>
      </c>
      <c r="S32" s="340">
        <v>0</v>
      </c>
      <c r="T32" s="340">
        <v>0</v>
      </c>
      <c r="U32" s="340">
        <v>0</v>
      </c>
      <c r="V32" s="340">
        <v>0</v>
      </c>
      <c r="W32" s="340">
        <v>0</v>
      </c>
      <c r="X32" s="340">
        <v>0</v>
      </c>
      <c r="Y32" s="341">
        <v>21</v>
      </c>
      <c r="Z32" s="333" t="s">
        <v>274</v>
      </c>
      <c r="AA32" s="333" t="s">
        <v>274</v>
      </c>
      <c r="AB32" s="334">
        <v>24</v>
      </c>
      <c r="AC32" s="417">
        <v>21</v>
      </c>
      <c r="AD32" s="418">
        <v>3</v>
      </c>
      <c r="AE32" s="418">
        <v>14</v>
      </c>
      <c r="AF32" s="335">
        <v>3</v>
      </c>
      <c r="AG32" s="94"/>
      <c r="AH32" s="422">
        <v>21</v>
      </c>
      <c r="AI32" s="94"/>
      <c r="AJ32" s="422">
        <v>21</v>
      </c>
      <c r="AK32" s="94"/>
      <c r="AL32" s="94"/>
    </row>
    <row r="33" spans="2:38">
      <c r="B33" s="328">
        <v>8502534</v>
      </c>
      <c r="C33" s="329" t="s">
        <v>20</v>
      </c>
      <c r="D33" s="94" t="s">
        <v>524</v>
      </c>
      <c r="E33" s="337" t="s">
        <v>530</v>
      </c>
      <c r="F33" s="337" t="s">
        <v>185</v>
      </c>
      <c r="G33" s="330" t="s">
        <v>519</v>
      </c>
      <c r="H33" s="340">
        <v>0</v>
      </c>
      <c r="I33" s="340">
        <v>0</v>
      </c>
      <c r="J33" s="340">
        <v>6</v>
      </c>
      <c r="K33" s="340">
        <v>1</v>
      </c>
      <c r="L33" s="340">
        <v>11</v>
      </c>
      <c r="M33" s="340">
        <v>7</v>
      </c>
      <c r="N33" s="340">
        <v>0</v>
      </c>
      <c r="O33" s="340">
        <v>0</v>
      </c>
      <c r="P33" s="340">
        <v>0</v>
      </c>
      <c r="Q33" s="340">
        <v>0</v>
      </c>
      <c r="R33" s="340">
        <v>0</v>
      </c>
      <c r="S33" s="340">
        <v>0</v>
      </c>
      <c r="T33" s="340">
        <v>0</v>
      </c>
      <c r="U33" s="340">
        <v>0</v>
      </c>
      <c r="V33" s="340">
        <v>0</v>
      </c>
      <c r="W33" s="340">
        <v>0</v>
      </c>
      <c r="X33" s="340">
        <v>0</v>
      </c>
      <c r="Y33" s="341">
        <v>25</v>
      </c>
      <c r="Z33" s="333" t="s">
        <v>299</v>
      </c>
      <c r="AA33" s="333" t="s">
        <v>299</v>
      </c>
      <c r="AB33" s="334">
        <v>23</v>
      </c>
      <c r="AC33" s="417">
        <v>25</v>
      </c>
      <c r="AD33" s="418">
        <v>0</v>
      </c>
      <c r="AE33" s="418">
        <v>13</v>
      </c>
      <c r="AF33" s="335">
        <v>0</v>
      </c>
      <c r="AG33" s="94"/>
      <c r="AH33" s="422">
        <v>25</v>
      </c>
      <c r="AI33" s="94"/>
      <c r="AJ33" s="422">
        <v>25</v>
      </c>
      <c r="AK33" s="94"/>
      <c r="AL33" s="94"/>
    </row>
    <row r="34" spans="2:38">
      <c r="B34" s="328">
        <v>8502732</v>
      </c>
      <c r="C34" s="329" t="s">
        <v>21</v>
      </c>
      <c r="D34" s="330" t="s">
        <v>517</v>
      </c>
      <c r="E34" s="330" t="s">
        <v>520</v>
      </c>
      <c r="F34" s="337" t="s">
        <v>185</v>
      </c>
      <c r="G34" s="330" t="s">
        <v>519</v>
      </c>
      <c r="H34" s="340">
        <v>0</v>
      </c>
      <c r="I34" s="340">
        <v>0</v>
      </c>
      <c r="J34" s="340">
        <v>0</v>
      </c>
      <c r="K34" s="340">
        <v>0</v>
      </c>
      <c r="L34" s="340">
        <v>2</v>
      </c>
      <c r="M34" s="340">
        <v>1</v>
      </c>
      <c r="N34" s="340">
        <v>0</v>
      </c>
      <c r="O34" s="340">
        <v>1</v>
      </c>
      <c r="P34" s="340">
        <v>0</v>
      </c>
      <c r="Q34" s="340">
        <v>0</v>
      </c>
      <c r="R34" s="340">
        <v>0</v>
      </c>
      <c r="S34" s="340">
        <v>0</v>
      </c>
      <c r="T34" s="340">
        <v>0</v>
      </c>
      <c r="U34" s="340">
        <v>0</v>
      </c>
      <c r="V34" s="340">
        <v>0</v>
      </c>
      <c r="W34" s="340">
        <v>0</v>
      </c>
      <c r="X34" s="340">
        <v>0</v>
      </c>
      <c r="Y34" s="341">
        <v>4</v>
      </c>
      <c r="Z34" s="333" t="s">
        <v>296</v>
      </c>
      <c r="AA34" s="333" t="s">
        <v>296</v>
      </c>
      <c r="AB34" s="334">
        <v>6</v>
      </c>
      <c r="AC34" s="417">
        <v>4</v>
      </c>
      <c r="AD34" s="418">
        <v>2</v>
      </c>
      <c r="AE34" s="418">
        <v>5</v>
      </c>
      <c r="AF34" s="338">
        <v>1</v>
      </c>
      <c r="AG34" s="140"/>
      <c r="AH34" s="462">
        <v>5</v>
      </c>
      <c r="AI34" s="94" t="s">
        <v>386</v>
      </c>
      <c r="AJ34" s="422">
        <v>5</v>
      </c>
      <c r="AK34" s="94"/>
      <c r="AL34" s="94"/>
    </row>
    <row r="35" spans="2:38">
      <c r="B35" s="328">
        <v>8502774</v>
      </c>
      <c r="C35" s="329" t="s">
        <v>22</v>
      </c>
      <c r="D35" s="330" t="s">
        <v>524</v>
      </c>
      <c r="E35" s="330" t="s">
        <v>525</v>
      </c>
      <c r="F35" s="337" t="s">
        <v>185</v>
      </c>
      <c r="G35" s="330" t="s">
        <v>519</v>
      </c>
      <c r="H35" s="340">
        <v>0</v>
      </c>
      <c r="I35" s="340">
        <v>0</v>
      </c>
      <c r="J35" s="340">
        <v>0</v>
      </c>
      <c r="K35" s="340">
        <v>0</v>
      </c>
      <c r="L35" s="340">
        <v>3</v>
      </c>
      <c r="M35" s="340">
        <v>2</v>
      </c>
      <c r="N35" s="340">
        <v>1</v>
      </c>
      <c r="O35" s="340">
        <v>8</v>
      </c>
      <c r="P35" s="340">
        <v>10</v>
      </c>
      <c r="Q35" s="340">
        <v>0</v>
      </c>
      <c r="R35" s="340">
        <v>0</v>
      </c>
      <c r="S35" s="340">
        <v>0</v>
      </c>
      <c r="T35" s="340">
        <v>0</v>
      </c>
      <c r="U35" s="340">
        <v>0</v>
      </c>
      <c r="V35" s="340">
        <v>0</v>
      </c>
      <c r="W35" s="340">
        <v>0</v>
      </c>
      <c r="X35" s="340">
        <v>0</v>
      </c>
      <c r="Y35" s="341">
        <v>24</v>
      </c>
      <c r="Z35" s="333" t="s">
        <v>291</v>
      </c>
      <c r="AA35" s="333" t="s">
        <v>291</v>
      </c>
      <c r="AB35" s="334">
        <v>24</v>
      </c>
      <c r="AC35" s="417">
        <v>24</v>
      </c>
      <c r="AD35" s="418">
        <v>0</v>
      </c>
      <c r="AE35" s="418">
        <v>24</v>
      </c>
      <c r="AF35" s="336">
        <v>0</v>
      </c>
      <c r="AG35" s="140"/>
      <c r="AH35" s="422">
        <v>24</v>
      </c>
      <c r="AI35" s="94"/>
      <c r="AJ35" s="422">
        <v>24</v>
      </c>
      <c r="AK35" s="94"/>
      <c r="AL35" s="94"/>
    </row>
    <row r="36" spans="2:38" ht="15.75" thickBot="1">
      <c r="B36" s="328">
        <v>8502776</v>
      </c>
      <c r="C36" s="329" t="s">
        <v>23</v>
      </c>
      <c r="D36" s="94" t="s">
        <v>524</v>
      </c>
      <c r="E36" s="330" t="s">
        <v>532</v>
      </c>
      <c r="F36" s="337" t="s">
        <v>185</v>
      </c>
      <c r="G36" s="330" t="s">
        <v>519</v>
      </c>
      <c r="H36" s="340">
        <v>0</v>
      </c>
      <c r="I36" s="340">
        <v>0</v>
      </c>
      <c r="J36" s="340">
        <v>0</v>
      </c>
      <c r="K36" s="340">
        <v>0</v>
      </c>
      <c r="L36" s="340">
        <v>3</v>
      </c>
      <c r="M36" s="340">
        <v>5</v>
      </c>
      <c r="N36" s="340">
        <v>1</v>
      </c>
      <c r="O36" s="340">
        <v>6</v>
      </c>
      <c r="P36" s="340">
        <v>3</v>
      </c>
      <c r="Q36" s="340">
        <v>0</v>
      </c>
      <c r="R36" s="340">
        <v>0</v>
      </c>
      <c r="S36" s="340">
        <v>0</v>
      </c>
      <c r="T36" s="340">
        <v>0</v>
      </c>
      <c r="U36" s="340">
        <v>0</v>
      </c>
      <c r="V36" s="340">
        <v>0</v>
      </c>
      <c r="W36" s="340">
        <v>0</v>
      </c>
      <c r="X36" s="340">
        <v>0</v>
      </c>
      <c r="Y36" s="341">
        <v>18</v>
      </c>
      <c r="Z36" s="333" t="s">
        <v>248</v>
      </c>
      <c r="AA36" s="333" t="s">
        <v>248</v>
      </c>
      <c r="AB36" s="600">
        <v>20.92</v>
      </c>
      <c r="AC36" s="417">
        <v>18</v>
      </c>
      <c r="AD36" s="418">
        <v>0</v>
      </c>
      <c r="AE36" s="418">
        <v>12</v>
      </c>
      <c r="AF36" s="601">
        <v>2.92</v>
      </c>
      <c r="AG36" s="140"/>
      <c r="AH36" s="422">
        <v>18</v>
      </c>
      <c r="AI36" s="94"/>
      <c r="AJ36" s="422">
        <v>18</v>
      </c>
      <c r="AK36" s="94"/>
      <c r="AL36" s="94"/>
    </row>
    <row r="37" spans="2:38" ht="15.75" thickBot="1">
      <c r="B37" s="328">
        <v>8502777</v>
      </c>
      <c r="C37" s="329" t="s">
        <v>24</v>
      </c>
      <c r="D37" s="94" t="s">
        <v>524</v>
      </c>
      <c r="E37" s="538" t="s">
        <v>532</v>
      </c>
      <c r="F37" s="337" t="s">
        <v>185</v>
      </c>
      <c r="G37" s="330" t="s">
        <v>519</v>
      </c>
      <c r="H37" s="340">
        <v>0</v>
      </c>
      <c r="I37" s="340">
        <v>0</v>
      </c>
      <c r="J37" s="340">
        <v>3</v>
      </c>
      <c r="K37" s="340">
        <v>2</v>
      </c>
      <c r="L37" s="340">
        <v>8</v>
      </c>
      <c r="M37" s="340">
        <v>10</v>
      </c>
      <c r="N37" s="340">
        <v>3</v>
      </c>
      <c r="O37" s="340">
        <v>7</v>
      </c>
      <c r="P37" s="340">
        <v>5</v>
      </c>
      <c r="Q37" s="340">
        <v>0</v>
      </c>
      <c r="R37" s="340">
        <v>0</v>
      </c>
      <c r="S37" s="340">
        <v>0</v>
      </c>
      <c r="T37" s="340">
        <v>0</v>
      </c>
      <c r="U37" s="340">
        <v>0</v>
      </c>
      <c r="V37" s="340">
        <v>0</v>
      </c>
      <c r="W37" s="340">
        <v>0</v>
      </c>
      <c r="X37" s="340">
        <v>0</v>
      </c>
      <c r="Y37" s="341">
        <v>38</v>
      </c>
      <c r="Z37" s="333" t="s">
        <v>280</v>
      </c>
      <c r="AA37" s="333" t="s">
        <v>280</v>
      </c>
      <c r="AB37" s="334">
        <v>36</v>
      </c>
      <c r="AC37" s="417">
        <v>38</v>
      </c>
      <c r="AD37" s="418">
        <v>0</v>
      </c>
      <c r="AE37" s="418">
        <v>27</v>
      </c>
      <c r="AF37" s="335">
        <v>0</v>
      </c>
      <c r="AG37" s="140"/>
      <c r="AH37" s="422">
        <v>38</v>
      </c>
      <c r="AI37" s="94"/>
      <c r="AJ37" s="422">
        <v>38</v>
      </c>
      <c r="AK37" s="94"/>
      <c r="AL37" s="94"/>
    </row>
    <row r="38" spans="2:38">
      <c r="B38" s="328">
        <v>8503101</v>
      </c>
      <c r="C38" s="329" t="s">
        <v>25</v>
      </c>
      <c r="D38" s="94" t="s">
        <v>524</v>
      </c>
      <c r="E38" s="330" t="s">
        <v>526</v>
      </c>
      <c r="F38" s="337" t="s">
        <v>185</v>
      </c>
      <c r="G38" s="330" t="s">
        <v>533</v>
      </c>
      <c r="H38" s="340">
        <v>0</v>
      </c>
      <c r="I38" s="340">
        <v>0</v>
      </c>
      <c r="J38" s="340">
        <v>3</v>
      </c>
      <c r="K38" s="340">
        <v>1</v>
      </c>
      <c r="L38" s="340">
        <v>0</v>
      </c>
      <c r="M38" s="340">
        <v>2</v>
      </c>
      <c r="N38" s="340">
        <v>1</v>
      </c>
      <c r="O38" s="340">
        <v>1</v>
      </c>
      <c r="P38" s="340">
        <v>2</v>
      </c>
      <c r="Q38" s="340">
        <v>1</v>
      </c>
      <c r="R38" s="340">
        <v>0</v>
      </c>
      <c r="S38" s="340">
        <v>0</v>
      </c>
      <c r="T38" s="340">
        <v>0</v>
      </c>
      <c r="U38" s="340">
        <v>0</v>
      </c>
      <c r="V38" s="340">
        <v>0</v>
      </c>
      <c r="W38" s="340">
        <v>0</v>
      </c>
      <c r="X38" s="340">
        <v>0</v>
      </c>
      <c r="Y38" s="341">
        <v>11</v>
      </c>
      <c r="Z38" s="333" t="s">
        <v>290</v>
      </c>
      <c r="AA38" s="333" t="s">
        <v>290</v>
      </c>
      <c r="AB38" s="334">
        <v>14</v>
      </c>
      <c r="AC38" s="417">
        <v>11</v>
      </c>
      <c r="AD38" s="418">
        <v>3</v>
      </c>
      <c r="AE38" s="418">
        <v>9</v>
      </c>
      <c r="AF38" s="335">
        <v>3</v>
      </c>
      <c r="AG38" s="140"/>
      <c r="AH38" s="422">
        <v>11</v>
      </c>
      <c r="AI38" s="94" t="s">
        <v>386</v>
      </c>
      <c r="AJ38" s="422">
        <v>11</v>
      </c>
      <c r="AK38" s="94"/>
      <c r="AL38" s="94"/>
    </row>
    <row r="39" spans="2:38">
      <c r="B39" s="328">
        <v>8503132</v>
      </c>
      <c r="C39" s="329" t="s">
        <v>534</v>
      </c>
      <c r="D39" s="330" t="s">
        <v>517</v>
      </c>
      <c r="E39" s="330" t="s">
        <v>518</v>
      </c>
      <c r="F39" s="337" t="s">
        <v>185</v>
      </c>
      <c r="G39" s="330" t="s">
        <v>533</v>
      </c>
      <c r="H39" s="340">
        <v>0</v>
      </c>
      <c r="I39" s="340">
        <v>6</v>
      </c>
      <c r="J39" s="340">
        <v>0</v>
      </c>
      <c r="K39" s="340">
        <v>0</v>
      </c>
      <c r="L39" s="340">
        <v>0</v>
      </c>
      <c r="M39" s="340">
        <v>0</v>
      </c>
      <c r="N39" s="340">
        <v>0</v>
      </c>
      <c r="O39" s="340">
        <v>0</v>
      </c>
      <c r="P39" s="340">
        <v>0</v>
      </c>
      <c r="Q39" s="340">
        <v>0</v>
      </c>
      <c r="R39" s="340">
        <v>0</v>
      </c>
      <c r="S39" s="340">
        <v>0</v>
      </c>
      <c r="T39" s="340">
        <v>0</v>
      </c>
      <c r="U39" s="340">
        <v>0</v>
      </c>
      <c r="V39" s="340">
        <v>0</v>
      </c>
      <c r="W39" s="340">
        <v>0</v>
      </c>
      <c r="X39" s="340">
        <v>0</v>
      </c>
      <c r="Y39" s="341">
        <v>6</v>
      </c>
      <c r="Z39" s="333" t="e">
        <v>#N/A</v>
      </c>
      <c r="AA39" s="333" t="e">
        <v>#N/A</v>
      </c>
      <c r="AB39" s="334">
        <v>0</v>
      </c>
      <c r="AC39" s="417">
        <v>0</v>
      </c>
      <c r="AD39" s="418">
        <v>0</v>
      </c>
      <c r="AE39" s="418">
        <v>0</v>
      </c>
      <c r="AF39" s="339">
        <v>0</v>
      </c>
      <c r="AG39" s="140" t="s">
        <v>528</v>
      </c>
      <c r="AH39" s="422"/>
      <c r="AI39" s="94"/>
      <c r="AJ39" s="94"/>
      <c r="AK39" s="94"/>
      <c r="AL39" s="94"/>
    </row>
    <row r="40" spans="2:38">
      <c r="B40" s="328">
        <v>8503665</v>
      </c>
      <c r="C40" s="329" t="s">
        <v>26</v>
      </c>
      <c r="D40" s="94" t="s">
        <v>517</v>
      </c>
      <c r="E40" s="330" t="s">
        <v>520</v>
      </c>
      <c r="F40" s="337" t="s">
        <v>185</v>
      </c>
      <c r="G40" s="330" t="s">
        <v>535</v>
      </c>
      <c r="H40" s="340">
        <v>0</v>
      </c>
      <c r="I40" s="340">
        <v>0</v>
      </c>
      <c r="J40" s="340">
        <v>0</v>
      </c>
      <c r="K40" s="340">
        <v>0</v>
      </c>
      <c r="L40" s="340">
        <v>0</v>
      </c>
      <c r="M40" s="340">
        <v>3</v>
      </c>
      <c r="N40" s="340">
        <v>2</v>
      </c>
      <c r="O40" s="340">
        <v>2</v>
      </c>
      <c r="P40" s="340">
        <v>0</v>
      </c>
      <c r="Q40" s="340">
        <v>0</v>
      </c>
      <c r="R40" s="340">
        <v>0</v>
      </c>
      <c r="S40" s="340">
        <v>0</v>
      </c>
      <c r="T40" s="340">
        <v>0</v>
      </c>
      <c r="U40" s="340">
        <v>0</v>
      </c>
      <c r="V40" s="340">
        <v>0</v>
      </c>
      <c r="W40" s="340">
        <v>0</v>
      </c>
      <c r="X40" s="340">
        <v>0</v>
      </c>
      <c r="Y40" s="341">
        <v>7</v>
      </c>
      <c r="Z40" s="333" t="s">
        <v>311</v>
      </c>
      <c r="AA40" s="333" t="s">
        <v>311</v>
      </c>
      <c r="AB40" s="334">
        <v>7</v>
      </c>
      <c r="AC40" s="417">
        <v>7</v>
      </c>
      <c r="AD40" s="418">
        <v>0</v>
      </c>
      <c r="AE40" s="418">
        <v>7</v>
      </c>
      <c r="AF40" s="342">
        <v>0</v>
      </c>
      <c r="AG40" s="94"/>
      <c r="AH40" s="422">
        <v>7</v>
      </c>
      <c r="AI40" s="94"/>
      <c r="AJ40" s="422">
        <v>7</v>
      </c>
      <c r="AK40" s="94"/>
      <c r="AL40" s="94"/>
    </row>
    <row r="41" spans="2:38" hidden="1">
      <c r="B41" s="328">
        <v>8504000</v>
      </c>
      <c r="C41" s="329" t="s">
        <v>27</v>
      </c>
      <c r="D41" s="330" t="s">
        <v>524</v>
      </c>
      <c r="E41" s="330" t="s">
        <v>526</v>
      </c>
      <c r="F41" s="330" t="s">
        <v>187</v>
      </c>
      <c r="G41" s="330" t="s">
        <v>536</v>
      </c>
      <c r="H41" s="340">
        <v>0</v>
      </c>
      <c r="I41" s="340">
        <v>0</v>
      </c>
      <c r="J41" s="340">
        <v>0</v>
      </c>
      <c r="K41" s="340">
        <v>0</v>
      </c>
      <c r="L41" s="340">
        <v>0</v>
      </c>
      <c r="M41" s="340">
        <v>0</v>
      </c>
      <c r="N41" s="340">
        <v>0</v>
      </c>
      <c r="O41" s="340">
        <v>0</v>
      </c>
      <c r="P41" s="340">
        <v>0</v>
      </c>
      <c r="Q41" s="340">
        <v>0</v>
      </c>
      <c r="R41" s="340">
        <v>2</v>
      </c>
      <c r="S41" s="340">
        <v>1</v>
      </c>
      <c r="T41" s="340">
        <v>2</v>
      </c>
      <c r="U41" s="340">
        <v>0</v>
      </c>
      <c r="V41" s="340">
        <v>0</v>
      </c>
      <c r="W41" s="340">
        <v>0</v>
      </c>
      <c r="X41" s="340">
        <v>0</v>
      </c>
      <c r="Y41" s="341">
        <v>5</v>
      </c>
      <c r="Z41" s="333" t="s">
        <v>270</v>
      </c>
      <c r="AA41" s="333" t="s">
        <v>270</v>
      </c>
      <c r="AB41" s="461">
        <v>5</v>
      </c>
      <c r="AC41" s="417">
        <v>5</v>
      </c>
      <c r="AD41" s="418">
        <v>0</v>
      </c>
      <c r="AE41" s="418">
        <v>1</v>
      </c>
      <c r="AF41" s="335">
        <v>0</v>
      </c>
      <c r="AG41" s="253" t="s">
        <v>188</v>
      </c>
      <c r="AH41" s="422">
        <v>5</v>
      </c>
      <c r="AI41" s="94"/>
      <c r="AJ41" s="94"/>
      <c r="AK41" s="422">
        <v>3</v>
      </c>
      <c r="AL41" s="422">
        <v>2</v>
      </c>
    </row>
    <row r="42" spans="2:38" hidden="1">
      <c r="B42" s="328">
        <v>8504110</v>
      </c>
      <c r="C42" s="329" t="s">
        <v>219</v>
      </c>
      <c r="D42" s="94" t="s">
        <v>524</v>
      </c>
      <c r="E42" s="330" t="s">
        <v>525</v>
      </c>
      <c r="F42" s="337" t="s">
        <v>187</v>
      </c>
      <c r="G42" s="330" t="s">
        <v>536</v>
      </c>
      <c r="H42" s="340">
        <v>0</v>
      </c>
      <c r="I42" s="340">
        <v>0</v>
      </c>
      <c r="J42" s="340">
        <v>0</v>
      </c>
      <c r="K42" s="340">
        <v>0</v>
      </c>
      <c r="L42" s="340">
        <v>0</v>
      </c>
      <c r="M42" s="340">
        <v>0</v>
      </c>
      <c r="N42" s="340">
        <v>0</v>
      </c>
      <c r="O42" s="340">
        <v>0</v>
      </c>
      <c r="P42" s="340">
        <v>0</v>
      </c>
      <c r="Q42" s="340">
        <v>5</v>
      </c>
      <c r="R42" s="340">
        <v>5</v>
      </c>
      <c r="S42" s="340">
        <v>0</v>
      </c>
      <c r="T42" s="340">
        <v>3</v>
      </c>
      <c r="U42" s="340">
        <v>0</v>
      </c>
      <c r="V42" s="340">
        <v>0</v>
      </c>
      <c r="W42" s="340">
        <v>0</v>
      </c>
      <c r="X42" s="340">
        <v>0</v>
      </c>
      <c r="Y42" s="341">
        <v>13</v>
      </c>
      <c r="Z42" s="333" t="s">
        <v>262</v>
      </c>
      <c r="AA42" s="333" t="s">
        <v>262</v>
      </c>
      <c r="AB42" s="461">
        <v>23</v>
      </c>
      <c r="AC42" s="417">
        <v>13</v>
      </c>
      <c r="AD42" s="418">
        <v>10</v>
      </c>
      <c r="AE42" s="418">
        <v>13</v>
      </c>
      <c r="AF42" s="336">
        <v>10</v>
      </c>
      <c r="AG42" s="253" t="s">
        <v>188</v>
      </c>
      <c r="AH42" s="422">
        <v>13</v>
      </c>
      <c r="AI42" s="94" t="s">
        <v>386</v>
      </c>
      <c r="AJ42" s="94"/>
      <c r="AK42" s="422">
        <v>10</v>
      </c>
      <c r="AL42" s="422">
        <v>3</v>
      </c>
    </row>
    <row r="43" spans="2:38">
      <c r="B43" s="541">
        <v>8504113</v>
      </c>
      <c r="C43" s="542" t="s">
        <v>30</v>
      </c>
      <c r="D43" s="543" t="s">
        <v>517</v>
      </c>
      <c r="E43" s="337" t="s">
        <v>521</v>
      </c>
      <c r="F43" s="337" t="s">
        <v>187</v>
      </c>
      <c r="G43" s="543" t="s">
        <v>519</v>
      </c>
      <c r="H43" s="340">
        <v>0</v>
      </c>
      <c r="I43" s="340">
        <v>0</v>
      </c>
      <c r="J43" s="340">
        <v>0</v>
      </c>
      <c r="K43" s="340">
        <v>0</v>
      </c>
      <c r="L43" s="340">
        <v>0</v>
      </c>
      <c r="M43" s="340">
        <v>0</v>
      </c>
      <c r="N43" s="340">
        <v>0</v>
      </c>
      <c r="O43" s="340">
        <v>0</v>
      </c>
      <c r="P43" s="340">
        <v>0</v>
      </c>
      <c r="Q43" s="340">
        <v>3</v>
      </c>
      <c r="R43" s="340">
        <v>6</v>
      </c>
      <c r="S43" s="340">
        <v>1</v>
      </c>
      <c r="T43" s="340">
        <v>3</v>
      </c>
      <c r="U43" s="340">
        <v>7</v>
      </c>
      <c r="V43" s="340">
        <v>0</v>
      </c>
      <c r="W43" s="340">
        <v>0</v>
      </c>
      <c r="X43" s="340">
        <v>0</v>
      </c>
      <c r="Y43" s="341">
        <v>20</v>
      </c>
      <c r="Z43" s="333" t="s">
        <v>322</v>
      </c>
      <c r="AA43" s="333" t="s">
        <v>322</v>
      </c>
      <c r="AB43" s="334">
        <v>17.083333333333336</v>
      </c>
      <c r="AC43" s="417">
        <v>20</v>
      </c>
      <c r="AD43" s="418">
        <v>0</v>
      </c>
      <c r="AE43" s="418">
        <v>17</v>
      </c>
      <c r="AF43" s="335">
        <v>0</v>
      </c>
      <c r="AG43" s="94"/>
      <c r="AH43" s="422">
        <v>20</v>
      </c>
      <c r="AI43" s="94"/>
      <c r="AJ43" s="94"/>
      <c r="AK43" s="422">
        <v>10</v>
      </c>
      <c r="AL43" s="422">
        <v>10</v>
      </c>
    </row>
    <row r="44" spans="2:38" hidden="1">
      <c r="B44" s="328">
        <v>8504128</v>
      </c>
      <c r="C44" s="329" t="s">
        <v>31</v>
      </c>
      <c r="D44" s="330" t="s">
        <v>517</v>
      </c>
      <c r="E44" s="330" t="s">
        <v>518</v>
      </c>
      <c r="F44" s="337" t="s">
        <v>187</v>
      </c>
      <c r="G44" s="330" t="s">
        <v>536</v>
      </c>
      <c r="H44" s="340">
        <v>0</v>
      </c>
      <c r="I44" s="340">
        <v>0</v>
      </c>
      <c r="J44" s="340">
        <v>0</v>
      </c>
      <c r="K44" s="340">
        <v>0</v>
      </c>
      <c r="L44" s="340">
        <v>0</v>
      </c>
      <c r="M44" s="340">
        <v>0</v>
      </c>
      <c r="N44" s="340">
        <v>0</v>
      </c>
      <c r="O44" s="340">
        <v>0</v>
      </c>
      <c r="P44" s="340">
        <v>0</v>
      </c>
      <c r="Q44" s="340">
        <v>4</v>
      </c>
      <c r="R44" s="340">
        <v>4</v>
      </c>
      <c r="S44" s="340">
        <v>5</v>
      </c>
      <c r="T44" s="340">
        <v>1</v>
      </c>
      <c r="U44" s="340">
        <v>3</v>
      </c>
      <c r="V44" s="340">
        <v>1</v>
      </c>
      <c r="W44" s="340">
        <v>0</v>
      </c>
      <c r="X44" s="340">
        <v>0</v>
      </c>
      <c r="Y44" s="341">
        <v>18</v>
      </c>
      <c r="Z44" s="333" t="s">
        <v>294</v>
      </c>
      <c r="AA44" s="333" t="s">
        <v>294</v>
      </c>
      <c r="AB44" s="461">
        <v>21</v>
      </c>
      <c r="AC44" s="417">
        <v>17</v>
      </c>
      <c r="AD44" s="418">
        <v>4</v>
      </c>
      <c r="AE44" s="418">
        <v>15</v>
      </c>
      <c r="AF44" s="335">
        <v>4</v>
      </c>
      <c r="AG44" s="253" t="s">
        <v>188</v>
      </c>
      <c r="AH44" s="422">
        <v>17</v>
      </c>
      <c r="AI44" s="94"/>
      <c r="AJ44" s="94"/>
      <c r="AK44" s="422">
        <v>13</v>
      </c>
      <c r="AL44" s="422">
        <v>4</v>
      </c>
    </row>
    <row r="45" spans="2:38">
      <c r="B45" s="328">
        <v>8504133</v>
      </c>
      <c r="C45" s="329" t="s">
        <v>32</v>
      </c>
      <c r="D45" s="330" t="s">
        <v>524</v>
      </c>
      <c r="E45" s="330" t="s">
        <v>537</v>
      </c>
      <c r="F45" s="337" t="s">
        <v>187</v>
      </c>
      <c r="G45" s="330" t="s">
        <v>519</v>
      </c>
      <c r="H45" s="340">
        <v>0</v>
      </c>
      <c r="I45" s="340">
        <v>0</v>
      </c>
      <c r="J45" s="340">
        <v>0</v>
      </c>
      <c r="K45" s="340">
        <v>0</v>
      </c>
      <c r="L45" s="340">
        <v>0</v>
      </c>
      <c r="M45" s="340">
        <v>0</v>
      </c>
      <c r="N45" s="340">
        <v>0</v>
      </c>
      <c r="O45" s="340">
        <v>0</v>
      </c>
      <c r="P45" s="340">
        <v>0</v>
      </c>
      <c r="Q45" s="340">
        <v>4</v>
      </c>
      <c r="R45" s="340">
        <v>5</v>
      </c>
      <c r="S45" s="340">
        <v>4</v>
      </c>
      <c r="T45" s="340">
        <v>2</v>
      </c>
      <c r="U45" s="340">
        <v>1</v>
      </c>
      <c r="V45" s="340">
        <v>0</v>
      </c>
      <c r="W45" s="340">
        <v>0</v>
      </c>
      <c r="X45" s="340">
        <v>0</v>
      </c>
      <c r="Y45" s="341">
        <v>16</v>
      </c>
      <c r="Z45" s="333" t="s">
        <v>300</v>
      </c>
      <c r="AA45" s="333" t="s">
        <v>300</v>
      </c>
      <c r="AB45" s="334">
        <v>15</v>
      </c>
      <c r="AC45" s="417">
        <v>16</v>
      </c>
      <c r="AD45" s="418">
        <v>0</v>
      </c>
      <c r="AE45" s="418">
        <v>9</v>
      </c>
      <c r="AF45" s="335">
        <v>0</v>
      </c>
      <c r="AG45" s="94"/>
      <c r="AH45" s="422">
        <v>16</v>
      </c>
      <c r="AI45" s="94"/>
      <c r="AJ45" s="94"/>
      <c r="AK45" s="422">
        <v>13</v>
      </c>
      <c r="AL45" s="422">
        <v>3</v>
      </c>
    </row>
    <row r="46" spans="2:38" hidden="1">
      <c r="B46" s="328">
        <v>8504143</v>
      </c>
      <c r="C46" s="329" t="s">
        <v>33</v>
      </c>
      <c r="D46" s="330" t="s">
        <v>517</v>
      </c>
      <c r="E46" s="330" t="s">
        <v>529</v>
      </c>
      <c r="F46" s="337" t="s">
        <v>187</v>
      </c>
      <c r="G46" s="330" t="s">
        <v>536</v>
      </c>
      <c r="H46" s="340">
        <v>0</v>
      </c>
      <c r="I46" s="340">
        <v>0</v>
      </c>
      <c r="J46" s="340">
        <v>0</v>
      </c>
      <c r="K46" s="340">
        <v>0</v>
      </c>
      <c r="L46" s="340">
        <v>0</v>
      </c>
      <c r="M46" s="340">
        <v>0</v>
      </c>
      <c r="N46" s="340">
        <v>0</v>
      </c>
      <c r="O46" s="340">
        <v>0</v>
      </c>
      <c r="P46" s="340">
        <v>0</v>
      </c>
      <c r="Q46" s="340">
        <v>4</v>
      </c>
      <c r="R46" s="340">
        <v>3</v>
      </c>
      <c r="S46" s="340">
        <v>4</v>
      </c>
      <c r="T46" s="340">
        <v>3</v>
      </c>
      <c r="U46" s="340">
        <v>4</v>
      </c>
      <c r="V46" s="340">
        <v>0</v>
      </c>
      <c r="W46" s="340">
        <v>0</v>
      </c>
      <c r="X46" s="340">
        <v>0</v>
      </c>
      <c r="Y46" s="341">
        <v>18</v>
      </c>
      <c r="Z46" s="333" t="s">
        <v>321</v>
      </c>
      <c r="AA46" s="333" t="s">
        <v>321</v>
      </c>
      <c r="AB46" s="461">
        <v>12</v>
      </c>
      <c r="AC46" s="417">
        <v>18</v>
      </c>
      <c r="AD46" s="418">
        <v>0</v>
      </c>
      <c r="AE46" s="418">
        <v>17</v>
      </c>
      <c r="AF46" s="339">
        <v>0</v>
      </c>
      <c r="AG46" s="253" t="s">
        <v>188</v>
      </c>
      <c r="AH46" s="422">
        <v>18</v>
      </c>
      <c r="AI46" s="94"/>
      <c r="AJ46" s="94"/>
      <c r="AK46" s="422">
        <v>11</v>
      </c>
      <c r="AL46" s="422">
        <v>7</v>
      </c>
    </row>
    <row r="47" spans="2:38">
      <c r="B47" s="328">
        <v>8504173</v>
      </c>
      <c r="C47" s="329" t="s">
        <v>34</v>
      </c>
      <c r="D47" s="330" t="s">
        <v>524</v>
      </c>
      <c r="E47" s="330" t="s">
        <v>525</v>
      </c>
      <c r="F47" s="337" t="s">
        <v>187</v>
      </c>
      <c r="G47" s="330" t="s">
        <v>519</v>
      </c>
      <c r="H47" s="340">
        <v>0</v>
      </c>
      <c r="I47" s="340">
        <v>0</v>
      </c>
      <c r="J47" s="340">
        <v>0</v>
      </c>
      <c r="K47" s="340">
        <v>0</v>
      </c>
      <c r="L47" s="340">
        <v>0</v>
      </c>
      <c r="M47" s="340">
        <v>0</v>
      </c>
      <c r="N47" s="340">
        <v>0</v>
      </c>
      <c r="O47" s="340">
        <v>0</v>
      </c>
      <c r="P47" s="340">
        <v>0</v>
      </c>
      <c r="Q47" s="340">
        <v>4</v>
      </c>
      <c r="R47" s="340">
        <v>2</v>
      </c>
      <c r="S47" s="340">
        <v>5</v>
      </c>
      <c r="T47" s="340">
        <v>4</v>
      </c>
      <c r="U47" s="340">
        <v>2</v>
      </c>
      <c r="V47" s="340">
        <v>0</v>
      </c>
      <c r="W47" s="340">
        <v>0</v>
      </c>
      <c r="X47" s="340">
        <v>0</v>
      </c>
      <c r="Y47" s="341">
        <v>17</v>
      </c>
      <c r="Z47" s="333" t="s">
        <v>282</v>
      </c>
      <c r="AA47" s="333" t="s">
        <v>282</v>
      </c>
      <c r="AB47" s="587">
        <v>21</v>
      </c>
      <c r="AC47" s="417">
        <v>17</v>
      </c>
      <c r="AD47" s="418">
        <v>4</v>
      </c>
      <c r="AE47" s="418">
        <v>17</v>
      </c>
      <c r="AF47" s="588">
        <v>4</v>
      </c>
      <c r="AG47" s="94"/>
      <c r="AH47" s="422">
        <v>17</v>
      </c>
      <c r="AI47" s="94"/>
      <c r="AJ47" s="94"/>
      <c r="AK47" s="422">
        <v>11</v>
      </c>
      <c r="AL47" s="422">
        <v>6</v>
      </c>
    </row>
    <row r="48" spans="2:38">
      <c r="B48" s="328">
        <v>8504174</v>
      </c>
      <c r="C48" s="329" t="s">
        <v>35</v>
      </c>
      <c r="D48" s="330" t="s">
        <v>517</v>
      </c>
      <c r="E48" s="330" t="s">
        <v>538</v>
      </c>
      <c r="F48" s="337" t="s">
        <v>187</v>
      </c>
      <c r="G48" s="330" t="s">
        <v>519</v>
      </c>
      <c r="H48" s="340">
        <v>0</v>
      </c>
      <c r="I48" s="340">
        <v>0</v>
      </c>
      <c r="J48" s="340">
        <v>0</v>
      </c>
      <c r="K48" s="340">
        <v>0</v>
      </c>
      <c r="L48" s="340">
        <v>0</v>
      </c>
      <c r="M48" s="340">
        <v>0</v>
      </c>
      <c r="N48" s="340">
        <v>0</v>
      </c>
      <c r="O48" s="340">
        <v>0</v>
      </c>
      <c r="P48" s="340">
        <v>0</v>
      </c>
      <c r="Q48" s="340">
        <v>2</v>
      </c>
      <c r="R48" s="340">
        <v>1</v>
      </c>
      <c r="S48" s="340">
        <v>1</v>
      </c>
      <c r="T48" s="340">
        <v>2</v>
      </c>
      <c r="U48" s="340">
        <v>1</v>
      </c>
      <c r="V48" s="340">
        <v>0</v>
      </c>
      <c r="W48" s="340">
        <v>0</v>
      </c>
      <c r="X48" s="340">
        <v>0</v>
      </c>
      <c r="Y48" s="341">
        <v>7</v>
      </c>
      <c r="Z48" s="333" t="s">
        <v>277</v>
      </c>
      <c r="AA48" s="333" t="s">
        <v>277</v>
      </c>
      <c r="AB48" s="334">
        <v>6</v>
      </c>
      <c r="AC48" s="417">
        <v>7</v>
      </c>
      <c r="AD48" s="418">
        <v>0</v>
      </c>
      <c r="AE48" s="418">
        <v>5</v>
      </c>
      <c r="AF48" s="335">
        <v>0</v>
      </c>
      <c r="AG48" s="94"/>
      <c r="AH48" s="422">
        <v>7</v>
      </c>
      <c r="AI48" s="94" t="s">
        <v>386</v>
      </c>
      <c r="AJ48" s="94"/>
      <c r="AK48" s="422">
        <v>4</v>
      </c>
      <c r="AL48" s="422">
        <v>3</v>
      </c>
    </row>
    <row r="49" spans="2:38">
      <c r="B49" s="328">
        <v>8504180</v>
      </c>
      <c r="C49" s="329" t="s">
        <v>36</v>
      </c>
      <c r="D49" s="94" t="s">
        <v>517</v>
      </c>
      <c r="E49" s="330" t="s">
        <v>520</v>
      </c>
      <c r="F49" s="337" t="s">
        <v>187</v>
      </c>
      <c r="G49" s="330" t="s">
        <v>519</v>
      </c>
      <c r="H49" s="340">
        <v>0</v>
      </c>
      <c r="I49" s="340">
        <v>0</v>
      </c>
      <c r="J49" s="340">
        <v>0</v>
      </c>
      <c r="K49" s="340">
        <v>0</v>
      </c>
      <c r="L49" s="340">
        <v>0</v>
      </c>
      <c r="M49" s="340">
        <v>0</v>
      </c>
      <c r="N49" s="340">
        <v>0</v>
      </c>
      <c r="O49" s="340">
        <v>0</v>
      </c>
      <c r="P49" s="340">
        <v>0</v>
      </c>
      <c r="Q49" s="340">
        <v>1</v>
      </c>
      <c r="R49" s="340">
        <v>0</v>
      </c>
      <c r="S49" s="340">
        <v>3</v>
      </c>
      <c r="T49" s="340">
        <v>3</v>
      </c>
      <c r="U49" s="340">
        <v>3</v>
      </c>
      <c r="V49" s="340">
        <v>0</v>
      </c>
      <c r="W49" s="340">
        <v>0</v>
      </c>
      <c r="X49" s="340">
        <v>0</v>
      </c>
      <c r="Y49" s="341">
        <v>10</v>
      </c>
      <c r="Z49" s="333" t="s">
        <v>323</v>
      </c>
      <c r="AA49" s="333" t="s">
        <v>323</v>
      </c>
      <c r="AB49" s="334">
        <v>12</v>
      </c>
      <c r="AC49" s="417">
        <v>10</v>
      </c>
      <c r="AD49" s="418">
        <v>2</v>
      </c>
      <c r="AE49" s="418">
        <v>9</v>
      </c>
      <c r="AF49" s="335">
        <v>2</v>
      </c>
      <c r="AG49" s="140"/>
      <c r="AH49" s="422">
        <v>10</v>
      </c>
      <c r="AI49" s="94"/>
      <c r="AJ49" s="94"/>
      <c r="AK49" s="422">
        <v>4</v>
      </c>
      <c r="AL49" s="422">
        <v>6</v>
      </c>
    </row>
    <row r="50" spans="2:38">
      <c r="B50" s="328">
        <v>8504191</v>
      </c>
      <c r="C50" s="329" t="s">
        <v>177</v>
      </c>
      <c r="D50" s="94" t="s">
        <v>517</v>
      </c>
      <c r="E50" s="330" t="s">
        <v>521</v>
      </c>
      <c r="F50" s="337" t="s">
        <v>187</v>
      </c>
      <c r="G50" s="330" t="s">
        <v>519</v>
      </c>
      <c r="H50" s="340">
        <v>0</v>
      </c>
      <c r="I50" s="340">
        <v>0</v>
      </c>
      <c r="J50" s="340">
        <v>0</v>
      </c>
      <c r="K50" s="340">
        <v>0</v>
      </c>
      <c r="L50" s="340">
        <v>0</v>
      </c>
      <c r="M50" s="340">
        <v>0</v>
      </c>
      <c r="N50" s="340">
        <v>0</v>
      </c>
      <c r="O50" s="340">
        <v>0</v>
      </c>
      <c r="P50" s="340">
        <v>0</v>
      </c>
      <c r="Q50" s="340">
        <v>3</v>
      </c>
      <c r="R50" s="340">
        <v>6</v>
      </c>
      <c r="S50" s="340">
        <v>3</v>
      </c>
      <c r="T50" s="340">
        <v>4</v>
      </c>
      <c r="U50" s="340">
        <v>5</v>
      </c>
      <c r="V50" s="340">
        <v>0</v>
      </c>
      <c r="W50" s="340">
        <v>0</v>
      </c>
      <c r="X50" s="340">
        <v>0</v>
      </c>
      <c r="Y50" s="341">
        <v>21</v>
      </c>
      <c r="Z50" s="333" t="s">
        <v>264</v>
      </c>
      <c r="AA50" s="333" t="s">
        <v>264</v>
      </c>
      <c r="AB50" s="334">
        <v>22</v>
      </c>
      <c r="AC50" s="417">
        <v>21</v>
      </c>
      <c r="AD50" s="418">
        <v>1</v>
      </c>
      <c r="AE50" s="418">
        <v>16</v>
      </c>
      <c r="AF50" s="343">
        <v>1</v>
      </c>
      <c r="AG50" s="94"/>
      <c r="AH50" s="422">
        <v>21</v>
      </c>
      <c r="AI50" s="94"/>
      <c r="AJ50" s="94"/>
      <c r="AK50" s="422">
        <v>12</v>
      </c>
      <c r="AL50" s="422">
        <v>9</v>
      </c>
    </row>
    <row r="51" spans="2:38">
      <c r="B51" s="328">
        <v>8504203</v>
      </c>
      <c r="C51" s="329" t="s">
        <v>39</v>
      </c>
      <c r="D51" s="330" t="s">
        <v>524</v>
      </c>
      <c r="E51" s="330" t="s">
        <v>530</v>
      </c>
      <c r="F51" s="337" t="s">
        <v>187</v>
      </c>
      <c r="G51" s="330" t="s">
        <v>539</v>
      </c>
      <c r="H51" s="340">
        <v>0</v>
      </c>
      <c r="I51" s="340">
        <v>0</v>
      </c>
      <c r="J51" s="340">
        <v>0</v>
      </c>
      <c r="K51" s="340">
        <v>0</v>
      </c>
      <c r="L51" s="340">
        <v>0</v>
      </c>
      <c r="M51" s="340">
        <v>0</v>
      </c>
      <c r="N51" s="340">
        <v>0</v>
      </c>
      <c r="O51" s="340">
        <v>0</v>
      </c>
      <c r="P51" s="340">
        <v>0</v>
      </c>
      <c r="Q51" s="340">
        <v>1</v>
      </c>
      <c r="R51" s="340">
        <v>1</v>
      </c>
      <c r="S51" s="340">
        <v>0</v>
      </c>
      <c r="T51" s="340">
        <v>2</v>
      </c>
      <c r="U51" s="340">
        <v>0</v>
      </c>
      <c r="V51" s="340">
        <v>0</v>
      </c>
      <c r="W51" s="340">
        <v>0</v>
      </c>
      <c r="X51" s="340">
        <v>0</v>
      </c>
      <c r="Y51" s="341">
        <v>4</v>
      </c>
      <c r="Z51" s="333" t="s">
        <v>261</v>
      </c>
      <c r="AA51" s="333" t="s">
        <v>261</v>
      </c>
      <c r="AB51" s="334">
        <v>5</v>
      </c>
      <c r="AC51" s="417">
        <v>4</v>
      </c>
      <c r="AD51" s="418">
        <v>1</v>
      </c>
      <c r="AE51" s="418">
        <v>3</v>
      </c>
      <c r="AF51" s="343">
        <v>1</v>
      </c>
      <c r="AG51" s="94"/>
      <c r="AH51" s="422">
        <v>4</v>
      </c>
      <c r="AI51" s="94" t="s">
        <v>386</v>
      </c>
      <c r="AJ51" s="94"/>
      <c r="AK51" s="422">
        <v>2</v>
      </c>
      <c r="AL51" s="422">
        <v>2</v>
      </c>
    </row>
    <row r="52" spans="2:38">
      <c r="B52" s="328">
        <v>8504206</v>
      </c>
      <c r="C52" s="329" t="s">
        <v>40</v>
      </c>
      <c r="D52" s="94" t="s">
        <v>524</v>
      </c>
      <c r="E52" s="337" t="s">
        <v>530</v>
      </c>
      <c r="F52" s="337" t="s">
        <v>187</v>
      </c>
      <c r="G52" s="330" t="s">
        <v>519</v>
      </c>
      <c r="H52" s="340">
        <v>0</v>
      </c>
      <c r="I52" s="340">
        <v>0</v>
      </c>
      <c r="J52" s="340">
        <v>0</v>
      </c>
      <c r="K52" s="340">
        <v>0</v>
      </c>
      <c r="L52" s="340">
        <v>0</v>
      </c>
      <c r="M52" s="340">
        <v>0</v>
      </c>
      <c r="N52" s="340">
        <v>0</v>
      </c>
      <c r="O52" s="340">
        <v>0</v>
      </c>
      <c r="P52" s="340">
        <v>0</v>
      </c>
      <c r="Q52" s="340">
        <v>0</v>
      </c>
      <c r="R52" s="340">
        <v>2</v>
      </c>
      <c r="S52" s="340">
        <v>3</v>
      </c>
      <c r="T52" s="340">
        <v>2</v>
      </c>
      <c r="U52" s="340">
        <v>6</v>
      </c>
      <c r="V52" s="340">
        <v>0</v>
      </c>
      <c r="W52" s="340">
        <v>0</v>
      </c>
      <c r="X52" s="340">
        <v>0</v>
      </c>
      <c r="Y52" s="341">
        <v>13</v>
      </c>
      <c r="Z52" s="333" t="s">
        <v>324</v>
      </c>
      <c r="AA52" s="333" t="s">
        <v>324</v>
      </c>
      <c r="AB52" s="334">
        <v>18.333333333333332</v>
      </c>
      <c r="AC52" s="417">
        <v>13</v>
      </c>
      <c r="AD52" s="418">
        <v>5.3333333333333321</v>
      </c>
      <c r="AE52" s="418">
        <v>13</v>
      </c>
      <c r="AF52" s="342">
        <v>5.3333333333333321</v>
      </c>
      <c r="AG52" s="140"/>
      <c r="AH52" s="422">
        <v>13</v>
      </c>
      <c r="AI52" s="94"/>
      <c r="AJ52" s="94"/>
      <c r="AK52" s="422">
        <v>5</v>
      </c>
      <c r="AL52" s="422">
        <v>8</v>
      </c>
    </row>
    <row r="53" spans="2:38" hidden="1">
      <c r="B53" s="328">
        <v>8504308</v>
      </c>
      <c r="C53" s="329" t="s">
        <v>41</v>
      </c>
      <c r="D53" s="94" t="s">
        <v>524</v>
      </c>
      <c r="E53" s="330" t="s">
        <v>537</v>
      </c>
      <c r="F53" s="337" t="s">
        <v>187</v>
      </c>
      <c r="G53" s="330" t="s">
        <v>536</v>
      </c>
      <c r="H53" s="340">
        <v>0</v>
      </c>
      <c r="I53" s="340">
        <v>0</v>
      </c>
      <c r="J53" s="340">
        <v>0</v>
      </c>
      <c r="K53" s="340">
        <v>0</v>
      </c>
      <c r="L53" s="340">
        <v>0</v>
      </c>
      <c r="M53" s="340">
        <v>0</v>
      </c>
      <c r="N53" s="340">
        <v>0</v>
      </c>
      <c r="O53" s="340">
        <v>0</v>
      </c>
      <c r="P53" s="340">
        <v>0</v>
      </c>
      <c r="Q53" s="340">
        <v>0</v>
      </c>
      <c r="R53" s="340">
        <v>0</v>
      </c>
      <c r="S53" s="340">
        <v>2</v>
      </c>
      <c r="T53" s="340">
        <v>0</v>
      </c>
      <c r="U53" s="340">
        <v>0</v>
      </c>
      <c r="V53" s="340">
        <v>0</v>
      </c>
      <c r="W53" s="340">
        <v>0</v>
      </c>
      <c r="X53" s="340">
        <v>0</v>
      </c>
      <c r="Y53" s="341">
        <v>2</v>
      </c>
      <c r="Z53" s="333" t="s">
        <v>318</v>
      </c>
      <c r="AA53" s="333" t="s">
        <v>318</v>
      </c>
      <c r="AB53" s="461">
        <v>6</v>
      </c>
      <c r="AC53" s="417">
        <v>2</v>
      </c>
      <c r="AD53" s="418">
        <v>4</v>
      </c>
      <c r="AE53" s="418">
        <v>2</v>
      </c>
      <c r="AF53" s="342">
        <v>4</v>
      </c>
      <c r="AG53" s="253" t="s">
        <v>188</v>
      </c>
      <c r="AH53" s="422">
        <v>2</v>
      </c>
      <c r="AI53" s="94" t="s">
        <v>386</v>
      </c>
      <c r="AJ53" s="94"/>
      <c r="AK53" s="422">
        <v>2</v>
      </c>
      <c r="AL53" s="422">
        <v>0</v>
      </c>
    </row>
    <row r="54" spans="2:38">
      <c r="B54" s="328">
        <v>8504310</v>
      </c>
      <c r="C54" s="329" t="s">
        <v>42</v>
      </c>
      <c r="D54" s="330" t="s">
        <v>517</v>
      </c>
      <c r="E54" s="330" t="s">
        <v>538</v>
      </c>
      <c r="F54" s="337" t="s">
        <v>187</v>
      </c>
      <c r="G54" s="330" t="s">
        <v>519</v>
      </c>
      <c r="H54" s="340">
        <v>0</v>
      </c>
      <c r="I54" s="340">
        <v>0</v>
      </c>
      <c r="J54" s="340">
        <v>0</v>
      </c>
      <c r="K54" s="340">
        <v>0</v>
      </c>
      <c r="L54" s="340">
        <v>0</v>
      </c>
      <c r="M54" s="340">
        <v>0</v>
      </c>
      <c r="N54" s="340">
        <v>0</v>
      </c>
      <c r="O54" s="340">
        <v>0</v>
      </c>
      <c r="P54" s="340">
        <v>0</v>
      </c>
      <c r="Q54" s="340">
        <v>0</v>
      </c>
      <c r="R54" s="340">
        <v>1</v>
      </c>
      <c r="S54" s="340">
        <v>1</v>
      </c>
      <c r="T54" s="340">
        <v>2</v>
      </c>
      <c r="U54" s="340">
        <v>2</v>
      </c>
      <c r="V54" s="340">
        <v>0</v>
      </c>
      <c r="W54" s="340">
        <v>0</v>
      </c>
      <c r="X54" s="340">
        <v>0</v>
      </c>
      <c r="Y54" s="341">
        <v>6</v>
      </c>
      <c r="Z54" s="333" t="s">
        <v>286</v>
      </c>
      <c r="AA54" s="333" t="s">
        <v>286</v>
      </c>
      <c r="AB54" s="334">
        <v>6</v>
      </c>
      <c r="AC54" s="417">
        <v>6</v>
      </c>
      <c r="AD54" s="418">
        <v>0</v>
      </c>
      <c r="AE54" s="418">
        <v>4</v>
      </c>
      <c r="AF54" s="343">
        <v>0</v>
      </c>
      <c r="AH54" s="422">
        <v>6</v>
      </c>
      <c r="AI54" s="94"/>
      <c r="AJ54" s="94"/>
      <c r="AK54" s="422">
        <v>2</v>
      </c>
      <c r="AL54" s="422">
        <v>4</v>
      </c>
    </row>
    <row r="55" spans="2:38" hidden="1">
      <c r="B55" s="328">
        <v>8504511</v>
      </c>
      <c r="C55" s="329" t="s">
        <v>43</v>
      </c>
      <c r="D55" s="330" t="s">
        <v>524</v>
      </c>
      <c r="E55" s="330" t="s">
        <v>540</v>
      </c>
      <c r="F55" s="337" t="s">
        <v>187</v>
      </c>
      <c r="G55" s="330" t="s">
        <v>536</v>
      </c>
      <c r="H55" s="340">
        <v>0</v>
      </c>
      <c r="I55" s="340">
        <v>0</v>
      </c>
      <c r="J55" s="340">
        <v>0</v>
      </c>
      <c r="K55" s="340">
        <v>0</v>
      </c>
      <c r="L55" s="340">
        <v>0</v>
      </c>
      <c r="M55" s="340">
        <v>0</v>
      </c>
      <c r="N55" s="340">
        <v>0</v>
      </c>
      <c r="O55" s="340">
        <v>0</v>
      </c>
      <c r="P55" s="340">
        <v>0</v>
      </c>
      <c r="Q55" s="340">
        <v>2</v>
      </c>
      <c r="R55" s="340">
        <v>2</v>
      </c>
      <c r="S55" s="340">
        <v>1</v>
      </c>
      <c r="T55" s="340">
        <v>4</v>
      </c>
      <c r="U55" s="340">
        <v>4</v>
      </c>
      <c r="V55" s="340">
        <v>0</v>
      </c>
      <c r="W55" s="340">
        <v>0</v>
      </c>
      <c r="X55" s="340">
        <v>0</v>
      </c>
      <c r="Y55" s="341">
        <v>13</v>
      </c>
      <c r="Z55" s="333" t="s">
        <v>303</v>
      </c>
      <c r="AA55" s="333" t="s">
        <v>303</v>
      </c>
      <c r="AB55" s="461">
        <v>15</v>
      </c>
      <c r="AC55" s="417">
        <v>13</v>
      </c>
      <c r="AD55" s="418">
        <v>2</v>
      </c>
      <c r="AE55" s="418">
        <v>13</v>
      </c>
      <c r="AF55" s="336">
        <v>2</v>
      </c>
      <c r="AG55" s="253" t="s">
        <v>188</v>
      </c>
      <c r="AH55" s="422">
        <v>13</v>
      </c>
      <c r="AI55" s="94"/>
      <c r="AJ55" s="94"/>
      <c r="AK55" s="422">
        <v>5</v>
      </c>
      <c r="AL55" s="422">
        <v>8</v>
      </c>
    </row>
    <row r="56" spans="2:38">
      <c r="B56" s="328">
        <v>8505208</v>
      </c>
      <c r="C56" s="329" t="s">
        <v>44</v>
      </c>
      <c r="D56" s="330" t="s">
        <v>517</v>
      </c>
      <c r="E56" s="330" t="s">
        <v>518</v>
      </c>
      <c r="F56" s="330" t="s">
        <v>185</v>
      </c>
      <c r="G56" s="330" t="s">
        <v>539</v>
      </c>
      <c r="H56" s="340">
        <v>0</v>
      </c>
      <c r="I56" s="340">
        <v>0</v>
      </c>
      <c r="J56" s="340">
        <v>0</v>
      </c>
      <c r="K56" s="340">
        <v>0</v>
      </c>
      <c r="L56" s="340">
        <v>0</v>
      </c>
      <c r="M56" s="340">
        <v>3</v>
      </c>
      <c r="N56" s="340">
        <v>1</v>
      </c>
      <c r="O56" s="340">
        <v>5</v>
      </c>
      <c r="P56" s="340">
        <v>6</v>
      </c>
      <c r="Q56" s="340">
        <v>0</v>
      </c>
      <c r="R56" s="340">
        <v>0</v>
      </c>
      <c r="S56" s="340">
        <v>0</v>
      </c>
      <c r="T56" s="340">
        <v>0</v>
      </c>
      <c r="U56" s="340">
        <v>0</v>
      </c>
      <c r="V56" s="340">
        <v>0</v>
      </c>
      <c r="W56" s="340">
        <v>0</v>
      </c>
      <c r="X56" s="340">
        <v>0</v>
      </c>
      <c r="Y56" s="341">
        <v>15</v>
      </c>
      <c r="Z56" s="333" t="s">
        <v>244</v>
      </c>
      <c r="AA56" s="333" t="s">
        <v>244</v>
      </c>
      <c r="AB56" s="334">
        <v>14</v>
      </c>
      <c r="AC56" s="417">
        <v>15</v>
      </c>
      <c r="AD56" s="418">
        <v>0</v>
      </c>
      <c r="AE56" s="418">
        <v>15</v>
      </c>
      <c r="AF56" s="336">
        <v>0</v>
      </c>
      <c r="AG56" s="140"/>
      <c r="AH56" s="422">
        <v>15</v>
      </c>
      <c r="AI56" s="94"/>
      <c r="AJ56" s="422">
        <v>15</v>
      </c>
      <c r="AK56" s="94"/>
      <c r="AL56" s="94"/>
    </row>
    <row r="57" spans="2:38" hidden="1">
      <c r="B57" s="328">
        <v>8505405</v>
      </c>
      <c r="C57" s="329" t="s">
        <v>45</v>
      </c>
      <c r="D57" s="330" t="s">
        <v>524</v>
      </c>
      <c r="E57" s="330" t="s">
        <v>537</v>
      </c>
      <c r="F57" s="330" t="s">
        <v>187</v>
      </c>
      <c r="G57" s="94" t="s">
        <v>536</v>
      </c>
      <c r="H57" s="340">
        <v>0</v>
      </c>
      <c r="I57" s="340">
        <v>0</v>
      </c>
      <c r="J57" s="340">
        <v>0</v>
      </c>
      <c r="K57" s="340">
        <v>0</v>
      </c>
      <c r="L57" s="340">
        <v>0</v>
      </c>
      <c r="M57" s="340">
        <v>0</v>
      </c>
      <c r="N57" s="340">
        <v>0</v>
      </c>
      <c r="O57" s="340">
        <v>0</v>
      </c>
      <c r="P57" s="340">
        <v>0</v>
      </c>
      <c r="Q57" s="340">
        <v>2</v>
      </c>
      <c r="R57" s="340">
        <v>3</v>
      </c>
      <c r="S57" s="340">
        <v>4</v>
      </c>
      <c r="T57" s="340">
        <v>2</v>
      </c>
      <c r="U57" s="340">
        <v>2</v>
      </c>
      <c r="V57" s="340">
        <v>0</v>
      </c>
      <c r="W57" s="340">
        <v>0</v>
      </c>
      <c r="X57" s="340">
        <v>0</v>
      </c>
      <c r="Y57" s="341">
        <v>13</v>
      </c>
      <c r="Z57" s="333" t="s">
        <v>266</v>
      </c>
      <c r="AA57" s="333" t="s">
        <v>266</v>
      </c>
      <c r="AB57" s="461">
        <v>12</v>
      </c>
      <c r="AC57" s="417">
        <v>13</v>
      </c>
      <c r="AD57" s="418">
        <v>0</v>
      </c>
      <c r="AE57" s="418">
        <v>12</v>
      </c>
      <c r="AF57" s="343">
        <v>0</v>
      </c>
      <c r="AG57" s="253" t="s">
        <v>188</v>
      </c>
      <c r="AH57" s="422">
        <v>13</v>
      </c>
      <c r="AI57" s="94"/>
      <c r="AJ57" s="94"/>
      <c r="AK57" s="422">
        <v>9</v>
      </c>
      <c r="AL57" s="422">
        <v>4</v>
      </c>
    </row>
    <row r="58" spans="2:38">
      <c r="B58" s="328">
        <v>8505412</v>
      </c>
      <c r="C58" s="329" t="s">
        <v>46</v>
      </c>
      <c r="D58" s="330" t="s">
        <v>517</v>
      </c>
      <c r="E58" s="330" t="s">
        <v>518</v>
      </c>
      <c r="F58" s="337" t="s">
        <v>187</v>
      </c>
      <c r="G58" s="330" t="s">
        <v>539</v>
      </c>
      <c r="H58" s="340">
        <v>0</v>
      </c>
      <c r="I58" s="340">
        <v>0</v>
      </c>
      <c r="J58" s="340">
        <v>0</v>
      </c>
      <c r="K58" s="340">
        <v>0</v>
      </c>
      <c r="L58" s="340">
        <v>0</v>
      </c>
      <c r="M58" s="340">
        <v>0</v>
      </c>
      <c r="N58" s="340">
        <v>0</v>
      </c>
      <c r="O58" s="340">
        <v>0</v>
      </c>
      <c r="P58" s="340">
        <v>0</v>
      </c>
      <c r="Q58" s="340">
        <v>2</v>
      </c>
      <c r="R58" s="340">
        <v>2</v>
      </c>
      <c r="S58" s="340">
        <v>4</v>
      </c>
      <c r="T58" s="340">
        <v>3</v>
      </c>
      <c r="U58" s="340">
        <v>3</v>
      </c>
      <c r="V58" s="340">
        <v>0</v>
      </c>
      <c r="W58" s="340">
        <v>0</v>
      </c>
      <c r="X58" s="340">
        <v>0</v>
      </c>
      <c r="Y58" s="341">
        <v>14</v>
      </c>
      <c r="Z58" s="333" t="s">
        <v>236</v>
      </c>
      <c r="AA58" s="333" t="s">
        <v>236</v>
      </c>
      <c r="AB58" s="334">
        <v>19.333333333333336</v>
      </c>
      <c r="AC58" s="417">
        <v>14</v>
      </c>
      <c r="AD58" s="418">
        <v>5.3333333333333357</v>
      </c>
      <c r="AE58" s="418">
        <v>12</v>
      </c>
      <c r="AF58" s="335">
        <v>5.33</v>
      </c>
      <c r="AG58" s="140"/>
      <c r="AH58" s="422">
        <v>14</v>
      </c>
      <c r="AI58" s="94"/>
      <c r="AJ58" s="94"/>
      <c r="AK58" s="422">
        <v>8</v>
      </c>
      <c r="AL58" s="422">
        <v>6</v>
      </c>
    </row>
    <row r="59" spans="2:38">
      <c r="B59" s="344" t="s">
        <v>508</v>
      </c>
      <c r="C59" s="344"/>
      <c r="D59" s="344"/>
      <c r="E59" s="344"/>
      <c r="F59" s="344"/>
      <c r="G59" s="344"/>
      <c r="H59" s="345">
        <v>0</v>
      </c>
      <c r="I59" s="345">
        <v>15</v>
      </c>
      <c r="J59" s="345">
        <v>36</v>
      </c>
      <c r="K59" s="345">
        <v>32</v>
      </c>
      <c r="L59" s="345">
        <v>57</v>
      </c>
      <c r="M59" s="345">
        <v>62</v>
      </c>
      <c r="N59" s="345">
        <v>44</v>
      </c>
      <c r="O59" s="345">
        <v>86</v>
      </c>
      <c r="P59" s="345">
        <v>66</v>
      </c>
      <c r="Q59" s="345">
        <v>43</v>
      </c>
      <c r="R59" s="345">
        <v>45</v>
      </c>
      <c r="S59" s="345">
        <v>42</v>
      </c>
      <c r="T59" s="345">
        <v>42</v>
      </c>
      <c r="U59" s="345">
        <v>43</v>
      </c>
      <c r="V59" s="345">
        <v>1</v>
      </c>
      <c r="W59" s="345">
        <v>0</v>
      </c>
      <c r="X59" s="345">
        <v>0</v>
      </c>
      <c r="Y59" s="345">
        <v>614</v>
      </c>
      <c r="Z59" s="333" t="e">
        <v>#VALUE!</v>
      </c>
      <c r="AA59" s="333" t="e">
        <v>#VALUE!</v>
      </c>
      <c r="AB59" s="334">
        <v>0</v>
      </c>
      <c r="AC59" s="417">
        <v>598</v>
      </c>
      <c r="AD59" s="418">
        <v>0</v>
      </c>
      <c r="AE59" s="418">
        <v>0</v>
      </c>
      <c r="AF59" s="463"/>
      <c r="AG59" s="94"/>
      <c r="AH59" s="422"/>
      <c r="AI59" s="94"/>
      <c r="AJ59" s="94"/>
      <c r="AK59" s="94"/>
      <c r="AL59" s="94"/>
    </row>
    <row r="60" spans="2:38" ht="30">
      <c r="B60" s="487">
        <v>8503197</v>
      </c>
      <c r="C60" s="140" t="s">
        <v>247</v>
      </c>
      <c r="F60" s="140" t="s">
        <v>185</v>
      </c>
      <c r="G60" s="140" t="s">
        <v>186</v>
      </c>
      <c r="H60"/>
      <c r="I60"/>
      <c r="J60"/>
      <c r="K60"/>
      <c r="L60"/>
      <c r="M60"/>
      <c r="N60"/>
      <c r="O60"/>
      <c r="P60"/>
      <c r="Q60"/>
      <c r="R60"/>
      <c r="S60"/>
      <c r="T60"/>
      <c r="U60"/>
      <c r="V60"/>
      <c r="W60"/>
      <c r="X60"/>
      <c r="Y60"/>
      <c r="Z60" s="333" t="s">
        <v>247</v>
      </c>
      <c r="AA60" s="333" t="s">
        <v>247</v>
      </c>
      <c r="AB60" s="334">
        <v>7.75</v>
      </c>
      <c r="AC60" s="417">
        <v>0</v>
      </c>
      <c r="AD60" s="418">
        <v>7.75</v>
      </c>
      <c r="AE60" s="418">
        <v>0</v>
      </c>
      <c r="AF60" s="342">
        <v>7.75</v>
      </c>
      <c r="AG60" s="204" t="s">
        <v>541</v>
      </c>
      <c r="AH60" s="422">
        <v>0</v>
      </c>
      <c r="AI60" s="94"/>
      <c r="AJ60" s="422">
        <v>0</v>
      </c>
      <c r="AK60" s="94"/>
      <c r="AL60" s="94"/>
    </row>
    <row r="61" spans="2:38" hidden="1">
      <c r="B61" s="488">
        <v>8505416</v>
      </c>
      <c r="C61" s="489" t="s">
        <v>256</v>
      </c>
      <c r="F61" s="489" t="s">
        <v>187</v>
      </c>
      <c r="G61" s="489" t="s">
        <v>188</v>
      </c>
      <c r="H61"/>
      <c r="I61"/>
      <c r="J61"/>
      <c r="K61"/>
      <c r="L61"/>
      <c r="M61"/>
      <c r="N61"/>
      <c r="O61"/>
      <c r="P61"/>
      <c r="Q61"/>
      <c r="R61"/>
      <c r="S61"/>
      <c r="T61"/>
      <c r="U61"/>
      <c r="V61"/>
      <c r="W61"/>
      <c r="X61"/>
      <c r="Y61"/>
      <c r="Z61" s="333" t="s">
        <v>256</v>
      </c>
      <c r="AA61" s="333" t="s">
        <v>256</v>
      </c>
      <c r="AB61" s="461">
        <v>15</v>
      </c>
      <c r="AC61" s="461">
        <v>14</v>
      </c>
      <c r="AD61" s="418">
        <v>1</v>
      </c>
      <c r="AE61" s="418">
        <v>5</v>
      </c>
      <c r="AF61" s="335">
        <v>1</v>
      </c>
      <c r="AG61" s="253" t="s">
        <v>188</v>
      </c>
      <c r="AH61" s="422">
        <v>14</v>
      </c>
      <c r="AI61" s="94"/>
      <c r="AJ61" s="94"/>
      <c r="AK61" s="422">
        <v>14</v>
      </c>
      <c r="AL61" s="422">
        <v>0</v>
      </c>
    </row>
    <row r="62" spans="2:38" ht="30">
      <c r="B62" s="544">
        <v>8504164</v>
      </c>
      <c r="C62" s="545" t="s">
        <v>263</v>
      </c>
      <c r="F62" s="545" t="s">
        <v>187</v>
      </c>
      <c r="G62" s="545" t="s">
        <v>186</v>
      </c>
      <c r="H62"/>
      <c r="I62"/>
      <c r="J62"/>
      <c r="K62"/>
      <c r="L62"/>
      <c r="M62"/>
      <c r="N62"/>
      <c r="O62"/>
      <c r="P62"/>
      <c r="Q62">
        <v>7</v>
      </c>
      <c r="R62"/>
      <c r="S62"/>
      <c r="T62"/>
      <c r="U62"/>
      <c r="V62"/>
      <c r="W62"/>
      <c r="X62"/>
      <c r="Y62"/>
      <c r="Z62" s="333" t="s">
        <v>263</v>
      </c>
      <c r="AA62" s="333" t="s">
        <v>263</v>
      </c>
      <c r="AB62" s="334">
        <v>12</v>
      </c>
      <c r="AC62" s="461">
        <v>16</v>
      </c>
      <c r="AD62" s="418">
        <v>0</v>
      </c>
      <c r="AE62" s="418">
        <v>16</v>
      </c>
      <c r="AF62" s="336">
        <v>0</v>
      </c>
      <c r="AH62" s="422">
        <v>16</v>
      </c>
      <c r="AI62" s="94"/>
      <c r="AJ62" s="94"/>
      <c r="AK62" s="422">
        <v>8</v>
      </c>
      <c r="AL62" s="422">
        <v>8</v>
      </c>
    </row>
    <row r="63" spans="2:38">
      <c r="B63" s="487">
        <v>8504159</v>
      </c>
      <c r="C63" s="140" t="s">
        <v>267</v>
      </c>
      <c r="F63" s="140" t="s">
        <v>187</v>
      </c>
      <c r="G63" s="140" t="s">
        <v>186</v>
      </c>
      <c r="H63" s="456"/>
      <c r="I63" s="456"/>
      <c r="J63" s="456"/>
      <c r="K63" s="456"/>
      <c r="L63" s="456"/>
      <c r="M63" s="456"/>
      <c r="N63" s="456"/>
      <c r="O63" s="456"/>
      <c r="P63" s="456"/>
      <c r="Q63" s="456"/>
      <c r="R63" s="456"/>
      <c r="S63" s="456"/>
      <c r="T63" s="456"/>
      <c r="U63" s="456"/>
      <c r="V63" s="456"/>
      <c r="W63" s="456"/>
      <c r="X63" s="456"/>
      <c r="Y63" s="456"/>
      <c r="Z63" s="333" t="s">
        <v>267</v>
      </c>
      <c r="AA63" s="333" t="s">
        <v>267</v>
      </c>
      <c r="AB63" s="334">
        <v>7.9166666666666661</v>
      </c>
      <c r="AC63" s="417">
        <v>0</v>
      </c>
      <c r="AD63" s="418">
        <v>7.9166666666666661</v>
      </c>
      <c r="AE63" s="418">
        <v>5</v>
      </c>
      <c r="AF63" s="338">
        <v>2.9166666666666661</v>
      </c>
      <c r="AG63" s="204" t="s">
        <v>542</v>
      </c>
      <c r="AH63" s="462">
        <v>5</v>
      </c>
      <c r="AI63" s="94"/>
      <c r="AJ63" s="94"/>
      <c r="AK63" s="422">
        <v>5</v>
      </c>
      <c r="AL63" s="422">
        <v>0</v>
      </c>
    </row>
    <row r="64" spans="2:38">
      <c r="B64" s="487">
        <v>8502270</v>
      </c>
      <c r="C64" s="140" t="s">
        <v>272</v>
      </c>
      <c r="F64" s="140" t="s">
        <v>185</v>
      </c>
      <c r="G64" s="140" t="s">
        <v>186</v>
      </c>
      <c r="H64" s="456"/>
      <c r="I64" s="456"/>
      <c r="J64" s="456"/>
      <c r="K64" s="456"/>
      <c r="L64" s="456"/>
      <c r="M64" s="456"/>
      <c r="N64" s="456"/>
      <c r="O64" s="456"/>
      <c r="P64" s="456"/>
      <c r="Q64" s="456"/>
      <c r="R64" s="456"/>
      <c r="S64" s="456"/>
      <c r="T64" s="456"/>
      <c r="U64" s="456"/>
      <c r="V64" s="456"/>
      <c r="W64" s="456"/>
      <c r="X64" s="456"/>
      <c r="Y64" s="456"/>
      <c r="Z64" s="333" t="s">
        <v>272</v>
      </c>
      <c r="AA64" s="333" t="s">
        <v>272</v>
      </c>
      <c r="AB64" s="334">
        <v>6.1666666666666661</v>
      </c>
      <c r="AC64" s="461">
        <v>5</v>
      </c>
      <c r="AD64" s="418">
        <v>1.1666666666666661</v>
      </c>
      <c r="AE64" s="418">
        <v>0</v>
      </c>
      <c r="AF64" s="335">
        <v>1.1666666666666661</v>
      </c>
      <c r="AG64" s="94"/>
      <c r="AH64" s="422">
        <v>5</v>
      </c>
      <c r="AI64" s="94"/>
      <c r="AJ64" s="422">
        <v>5</v>
      </c>
      <c r="AK64" s="94"/>
      <c r="AL64" s="94"/>
    </row>
    <row r="65" spans="2:38">
      <c r="B65" s="487">
        <v>8502091</v>
      </c>
      <c r="C65" s="140" t="s">
        <v>275</v>
      </c>
      <c r="F65" s="140" t="s">
        <v>185</v>
      </c>
      <c r="G65" s="140" t="s">
        <v>186</v>
      </c>
      <c r="Z65" s="333" t="s">
        <v>275</v>
      </c>
      <c r="AA65" s="333" t="s">
        <v>275</v>
      </c>
      <c r="AB65" s="334">
        <v>3.5</v>
      </c>
      <c r="AC65" s="417">
        <v>0</v>
      </c>
      <c r="AD65" s="418">
        <v>3.5</v>
      </c>
      <c r="AE65" s="418">
        <v>0</v>
      </c>
      <c r="AF65" s="342">
        <v>3.5</v>
      </c>
      <c r="AG65" s="94" t="s">
        <v>543</v>
      </c>
      <c r="AH65" s="422">
        <v>0</v>
      </c>
      <c r="AI65" s="94"/>
      <c r="AJ65" s="422">
        <v>0</v>
      </c>
      <c r="AK65" s="94"/>
      <c r="AL65" s="94"/>
    </row>
    <row r="66" spans="2:38">
      <c r="B66" s="487">
        <v>8504163</v>
      </c>
      <c r="C66" s="140" t="s">
        <v>276</v>
      </c>
      <c r="F66" s="140" t="s">
        <v>187</v>
      </c>
      <c r="G66" s="140" t="s">
        <v>186</v>
      </c>
      <c r="Z66" s="333" t="s">
        <v>276</v>
      </c>
      <c r="AA66" s="333" t="s">
        <v>276</v>
      </c>
      <c r="AB66" s="334">
        <v>4.083333333333333</v>
      </c>
      <c r="AC66" s="417">
        <v>0</v>
      </c>
      <c r="AD66" s="418">
        <v>4.083333333333333</v>
      </c>
      <c r="AE66" s="418">
        <v>0</v>
      </c>
      <c r="AF66" s="342">
        <v>4.083333333333333</v>
      </c>
      <c r="AG66" s="94" t="s">
        <v>543</v>
      </c>
      <c r="AH66" s="422">
        <v>0</v>
      </c>
      <c r="AI66" s="94"/>
      <c r="AJ66" s="94"/>
      <c r="AK66" s="422">
        <v>0</v>
      </c>
      <c r="AL66" s="422">
        <v>0</v>
      </c>
    </row>
    <row r="67" spans="2:38" hidden="1">
      <c r="B67" s="488">
        <v>8502070</v>
      </c>
      <c r="C67" s="489" t="s">
        <v>283</v>
      </c>
      <c r="F67" s="489" t="s">
        <v>185</v>
      </c>
      <c r="G67" s="489" t="s">
        <v>188</v>
      </c>
      <c r="Z67" s="333" t="s">
        <v>283</v>
      </c>
      <c r="AA67" s="333" t="s">
        <v>283</v>
      </c>
      <c r="AB67" s="461">
        <v>4</v>
      </c>
      <c r="AC67" s="417">
        <v>0</v>
      </c>
      <c r="AD67" s="418">
        <v>4</v>
      </c>
      <c r="AE67" s="418">
        <v>0</v>
      </c>
      <c r="AF67" s="342">
        <v>4</v>
      </c>
      <c r="AG67" s="253" t="s">
        <v>544</v>
      </c>
      <c r="AH67" s="422">
        <v>0</v>
      </c>
      <c r="AI67" s="94"/>
      <c r="AJ67" s="422">
        <v>0</v>
      </c>
      <c r="AK67" s="94"/>
      <c r="AL67" s="94"/>
    </row>
    <row r="68" spans="2:38" hidden="1">
      <c r="B68" s="488">
        <v>8505408</v>
      </c>
      <c r="C68" s="489" t="s">
        <v>284</v>
      </c>
      <c r="F68" s="489" t="s">
        <v>187</v>
      </c>
      <c r="G68" s="489" t="s">
        <v>188</v>
      </c>
      <c r="Z68" s="333" t="s">
        <v>284</v>
      </c>
      <c r="AA68" s="333" t="s">
        <v>284</v>
      </c>
      <c r="AB68" s="461">
        <v>7</v>
      </c>
      <c r="AC68" s="417">
        <v>0</v>
      </c>
      <c r="AD68" s="418">
        <v>7</v>
      </c>
      <c r="AE68" s="418">
        <v>0</v>
      </c>
      <c r="AF68" s="336">
        <v>7</v>
      </c>
      <c r="AG68" s="253" t="s">
        <v>544</v>
      </c>
      <c r="AH68" s="422">
        <v>0</v>
      </c>
      <c r="AI68" s="94"/>
      <c r="AJ68" s="94"/>
      <c r="AK68" s="422">
        <v>0</v>
      </c>
      <c r="AL68" s="422">
        <v>0</v>
      </c>
    </row>
    <row r="69" spans="2:38">
      <c r="B69" s="487">
        <v>8502291</v>
      </c>
      <c r="C69" s="140" t="s">
        <v>10</v>
      </c>
      <c r="F69" s="140" t="s">
        <v>185</v>
      </c>
      <c r="G69" s="140" t="s">
        <v>186</v>
      </c>
      <c r="J69" s="96">
        <v>3</v>
      </c>
      <c r="K69" s="96">
        <v>3</v>
      </c>
      <c r="L69" s="96">
        <v>2</v>
      </c>
      <c r="Z69" s="333" t="s">
        <v>10</v>
      </c>
      <c r="AA69" s="333" t="s">
        <v>10</v>
      </c>
      <c r="AB69" s="334">
        <v>10</v>
      </c>
      <c r="AC69" s="417">
        <v>8</v>
      </c>
      <c r="AD69" s="418">
        <v>2</v>
      </c>
      <c r="AE69" s="418">
        <v>7</v>
      </c>
      <c r="AF69" s="335">
        <v>2</v>
      </c>
      <c r="AG69" s="94"/>
      <c r="AH69" s="422">
        <v>8</v>
      </c>
      <c r="AI69" s="94"/>
      <c r="AJ69" s="422">
        <v>8</v>
      </c>
      <c r="AK69" s="94"/>
      <c r="AL69" s="94"/>
    </row>
    <row r="70" spans="2:38" hidden="1">
      <c r="B70" s="488">
        <v>8502073</v>
      </c>
      <c r="C70" s="489" t="s">
        <v>292</v>
      </c>
      <c r="F70" s="489" t="s">
        <v>185</v>
      </c>
      <c r="G70" s="489" t="s">
        <v>188</v>
      </c>
      <c r="Z70" s="333" t="s">
        <v>292</v>
      </c>
      <c r="AA70" s="333" t="s">
        <v>292</v>
      </c>
      <c r="AB70" s="461">
        <v>4</v>
      </c>
      <c r="AC70" s="417">
        <v>0</v>
      </c>
      <c r="AD70" s="418">
        <v>4</v>
      </c>
      <c r="AE70" s="418">
        <v>0</v>
      </c>
      <c r="AF70" s="336">
        <v>4</v>
      </c>
      <c r="AG70" s="253" t="s">
        <v>544</v>
      </c>
      <c r="AH70" s="422">
        <v>0</v>
      </c>
      <c r="AI70" s="94"/>
      <c r="AJ70" s="422">
        <v>0</v>
      </c>
      <c r="AK70" s="94"/>
      <c r="AL70" s="94"/>
    </row>
    <row r="71" spans="2:38" ht="30">
      <c r="B71" s="487">
        <v>8503192</v>
      </c>
      <c r="C71" s="140" t="s">
        <v>293</v>
      </c>
      <c r="F71" s="140" t="s">
        <v>185</v>
      </c>
      <c r="G71" s="140" t="s">
        <v>186</v>
      </c>
      <c r="M71" s="96">
        <v>5</v>
      </c>
      <c r="Z71" s="333" t="s">
        <v>293</v>
      </c>
      <c r="AA71" s="333" t="s">
        <v>293</v>
      </c>
      <c r="AB71" s="334">
        <v>8</v>
      </c>
      <c r="AC71" s="417">
        <v>5</v>
      </c>
      <c r="AD71" s="418">
        <v>3</v>
      </c>
      <c r="AE71" s="418">
        <v>0</v>
      </c>
      <c r="AF71" s="335">
        <v>3</v>
      </c>
      <c r="AG71" s="140"/>
      <c r="AH71" s="422">
        <v>5</v>
      </c>
      <c r="AI71" s="94"/>
      <c r="AJ71" s="422">
        <v>5</v>
      </c>
      <c r="AK71" s="94"/>
      <c r="AL71" s="94"/>
    </row>
    <row r="72" spans="2:38" hidden="1">
      <c r="B72" s="488">
        <v>8504007</v>
      </c>
      <c r="C72" s="489" t="s">
        <v>295</v>
      </c>
      <c r="F72" s="489" t="s">
        <v>187</v>
      </c>
      <c r="G72" s="489" t="s">
        <v>188</v>
      </c>
      <c r="Z72" s="333" t="s">
        <v>295</v>
      </c>
      <c r="AA72" s="333" t="s">
        <v>295</v>
      </c>
      <c r="AB72" s="461">
        <v>6</v>
      </c>
      <c r="AC72" s="417">
        <v>0</v>
      </c>
      <c r="AD72" s="418">
        <v>6</v>
      </c>
      <c r="AE72" s="418">
        <v>3</v>
      </c>
      <c r="AF72" s="338">
        <v>3</v>
      </c>
      <c r="AG72" s="253" t="s">
        <v>188</v>
      </c>
      <c r="AH72" s="462">
        <v>3</v>
      </c>
      <c r="AI72" s="94"/>
      <c r="AJ72" s="94"/>
      <c r="AK72" s="422">
        <v>3</v>
      </c>
      <c r="AL72" s="422">
        <v>0</v>
      </c>
    </row>
    <row r="73" spans="2:38">
      <c r="B73" s="487">
        <v>8503124</v>
      </c>
      <c r="C73" s="140" t="s">
        <v>545</v>
      </c>
      <c r="F73" s="140" t="s">
        <v>185</v>
      </c>
      <c r="G73" s="140" t="s">
        <v>186</v>
      </c>
      <c r="M73" s="96">
        <v>12</v>
      </c>
      <c r="Z73" s="333" t="s">
        <v>545</v>
      </c>
      <c r="AA73" s="333" t="s">
        <v>545</v>
      </c>
      <c r="AB73" s="334">
        <v>8</v>
      </c>
      <c r="AC73" s="417">
        <v>12</v>
      </c>
      <c r="AD73" s="418">
        <v>0</v>
      </c>
      <c r="AE73" s="418">
        <v>12</v>
      </c>
      <c r="AF73" s="336">
        <v>0</v>
      </c>
      <c r="AG73" s="94"/>
      <c r="AH73" s="422">
        <v>12</v>
      </c>
      <c r="AI73" s="94"/>
      <c r="AJ73" s="422">
        <v>12</v>
      </c>
      <c r="AK73" s="94"/>
      <c r="AL73" s="94"/>
    </row>
    <row r="74" spans="2:38" hidden="1">
      <c r="B74" s="488">
        <v>8504130</v>
      </c>
      <c r="C74" s="489" t="s">
        <v>298</v>
      </c>
      <c r="F74" s="489" t="s">
        <v>187</v>
      </c>
      <c r="G74" s="489" t="s">
        <v>188</v>
      </c>
      <c r="Z74" s="333" t="s">
        <v>298</v>
      </c>
      <c r="AA74" s="333" t="s">
        <v>298</v>
      </c>
      <c r="AB74" s="461">
        <v>15</v>
      </c>
      <c r="AC74" s="417">
        <v>9</v>
      </c>
      <c r="AD74" s="418">
        <v>6</v>
      </c>
      <c r="AE74" s="418">
        <v>10</v>
      </c>
      <c r="AF74" s="558">
        <v>6</v>
      </c>
      <c r="AG74" s="253" t="s">
        <v>188</v>
      </c>
      <c r="AH74" s="462">
        <v>10</v>
      </c>
      <c r="AI74" s="94"/>
      <c r="AJ74" s="94"/>
      <c r="AK74" s="422">
        <v>9</v>
      </c>
      <c r="AL74" s="422">
        <v>1</v>
      </c>
    </row>
    <row r="75" spans="2:38">
      <c r="B75" s="487">
        <v>8503404</v>
      </c>
      <c r="C75" s="140" t="s">
        <v>309</v>
      </c>
      <c r="F75" s="140" t="s">
        <v>185</v>
      </c>
      <c r="G75" s="140" t="s">
        <v>186</v>
      </c>
      <c r="M75" s="96">
        <v>3</v>
      </c>
      <c r="Z75" s="333" t="s">
        <v>309</v>
      </c>
      <c r="AA75" s="333" t="s">
        <v>309</v>
      </c>
      <c r="AB75" s="334">
        <v>6</v>
      </c>
      <c r="AC75" s="461">
        <v>5</v>
      </c>
      <c r="AD75" s="418">
        <v>1</v>
      </c>
      <c r="AE75" s="418">
        <v>5</v>
      </c>
      <c r="AF75" s="336">
        <v>1</v>
      </c>
      <c r="AG75" s="94"/>
      <c r="AH75" s="422">
        <v>5</v>
      </c>
      <c r="AI75" s="94" t="s">
        <v>386</v>
      </c>
      <c r="AJ75" s="422">
        <v>5</v>
      </c>
      <c r="AK75" s="94"/>
      <c r="AL75" s="94"/>
    </row>
    <row r="76" spans="2:38" hidden="1">
      <c r="B76" s="488">
        <v>8502072</v>
      </c>
      <c r="C76" s="489" t="s">
        <v>312</v>
      </c>
      <c r="F76" s="489" t="s">
        <v>185</v>
      </c>
      <c r="G76" s="489" t="s">
        <v>188</v>
      </c>
      <c r="Z76" s="333" t="s">
        <v>312</v>
      </c>
      <c r="AA76" s="333" t="s">
        <v>312</v>
      </c>
      <c r="AB76" s="461">
        <v>4</v>
      </c>
      <c r="AC76" s="417">
        <v>0</v>
      </c>
      <c r="AD76" s="418">
        <v>4</v>
      </c>
      <c r="AE76" s="418">
        <v>0</v>
      </c>
      <c r="AF76" s="336">
        <v>4</v>
      </c>
      <c r="AG76" s="253" t="s">
        <v>544</v>
      </c>
      <c r="AH76" s="422">
        <v>0</v>
      </c>
      <c r="AI76" s="94"/>
      <c r="AJ76" s="422">
        <v>0</v>
      </c>
      <c r="AK76" s="94"/>
      <c r="AL76" s="94"/>
    </row>
    <row r="77" spans="2:38" hidden="1">
      <c r="B77" s="488">
        <v>8502045</v>
      </c>
      <c r="C77" s="489" t="s">
        <v>315</v>
      </c>
      <c r="F77" s="489" t="s">
        <v>185</v>
      </c>
      <c r="G77" s="489" t="s">
        <v>188</v>
      </c>
      <c r="J77"/>
      <c r="M77" s="96">
        <v>1</v>
      </c>
      <c r="N77" s="96">
        <v>1</v>
      </c>
      <c r="O77" s="96">
        <v>1</v>
      </c>
      <c r="P77" s="96">
        <v>1</v>
      </c>
      <c r="Z77" s="333" t="s">
        <v>315</v>
      </c>
      <c r="AA77" s="333" t="s">
        <v>315</v>
      </c>
      <c r="AB77" s="461">
        <v>9</v>
      </c>
      <c r="AC77" s="417">
        <v>4</v>
      </c>
      <c r="AD77" s="418">
        <v>5</v>
      </c>
      <c r="AE77" s="418">
        <v>4</v>
      </c>
      <c r="AF77" s="336">
        <v>5</v>
      </c>
      <c r="AG77" s="253" t="s">
        <v>188</v>
      </c>
      <c r="AH77" s="422">
        <v>4</v>
      </c>
      <c r="AI77" s="94"/>
      <c r="AJ77" s="422">
        <v>4</v>
      </c>
      <c r="AK77" s="94"/>
      <c r="AL77" s="94"/>
    </row>
    <row r="78" spans="2:38">
      <c r="B78" s="487">
        <v>8504119</v>
      </c>
      <c r="C78" s="140" t="s">
        <v>319</v>
      </c>
      <c r="F78" s="140" t="s">
        <v>187</v>
      </c>
      <c r="G78" s="140" t="s">
        <v>186</v>
      </c>
      <c r="Z78" s="333" t="s">
        <v>319</v>
      </c>
      <c r="AA78" s="333" t="s">
        <v>319</v>
      </c>
      <c r="AB78" s="334">
        <v>4.083333333333333</v>
      </c>
      <c r="AC78" s="417">
        <v>0</v>
      </c>
      <c r="AD78" s="418">
        <v>4.083333333333333</v>
      </c>
      <c r="AE78" s="418">
        <v>0</v>
      </c>
      <c r="AF78" s="336">
        <v>4.083333333333333</v>
      </c>
      <c r="AG78" s="94" t="s">
        <v>543</v>
      </c>
      <c r="AH78" s="422">
        <v>0</v>
      </c>
      <c r="AI78" s="94"/>
      <c r="AJ78" s="94"/>
      <c r="AK78" s="422">
        <v>0</v>
      </c>
      <c r="AL78" s="422">
        <v>0</v>
      </c>
    </row>
    <row r="79" spans="2:38" hidden="1">
      <c r="B79" s="488">
        <v>8504005</v>
      </c>
      <c r="C79" s="489" t="s">
        <v>320</v>
      </c>
      <c r="F79" s="489" t="s">
        <v>187</v>
      </c>
      <c r="G79" s="489" t="s">
        <v>188</v>
      </c>
      <c r="Z79" s="333" t="s">
        <v>320</v>
      </c>
      <c r="AA79" s="333" t="s">
        <v>320</v>
      </c>
      <c r="AB79" s="461">
        <v>7</v>
      </c>
      <c r="AC79" s="417">
        <v>0</v>
      </c>
      <c r="AD79" s="418">
        <v>7</v>
      </c>
      <c r="AE79" s="418">
        <v>0</v>
      </c>
      <c r="AF79" s="336">
        <v>7</v>
      </c>
      <c r="AG79" s="253" t="s">
        <v>544</v>
      </c>
      <c r="AH79" s="422">
        <v>0</v>
      </c>
      <c r="AI79" s="94"/>
      <c r="AJ79" s="94"/>
      <c r="AK79" s="422">
        <v>0</v>
      </c>
      <c r="AL79" s="422">
        <v>0</v>
      </c>
    </row>
    <row r="80" spans="2:38">
      <c r="B80" s="487">
        <v>8502339</v>
      </c>
      <c r="C80" s="140" t="s">
        <v>327</v>
      </c>
      <c r="F80" s="140" t="s">
        <v>185</v>
      </c>
      <c r="G80" s="140" t="s">
        <v>186</v>
      </c>
      <c r="Z80" s="333" t="s">
        <v>327</v>
      </c>
      <c r="AA80" s="333" t="s">
        <v>327</v>
      </c>
      <c r="AB80" s="334">
        <v>7.75</v>
      </c>
      <c r="AC80" s="461">
        <v>4</v>
      </c>
      <c r="AD80" s="418">
        <v>3.75</v>
      </c>
      <c r="AE80" s="418">
        <v>2</v>
      </c>
      <c r="AF80" s="335">
        <v>3.75</v>
      </c>
      <c r="AG80" s="94"/>
      <c r="AH80" s="422">
        <v>4</v>
      </c>
      <c r="AI80" s="94"/>
      <c r="AJ80" s="422">
        <v>4</v>
      </c>
      <c r="AK80" s="94"/>
      <c r="AL80" s="94"/>
    </row>
    <row r="81" spans="2:38">
      <c r="B81" s="98">
        <v>8502055</v>
      </c>
      <c r="C81" s="94" t="s">
        <v>546</v>
      </c>
      <c r="F81" s="94" t="s">
        <v>185</v>
      </c>
      <c r="G81" s="94" t="s">
        <v>186</v>
      </c>
      <c r="M81" s="96">
        <v>14</v>
      </c>
      <c r="Z81" s="333" t="e">
        <v>#N/A</v>
      </c>
      <c r="AA81" s="333" t="e">
        <v>#N/A</v>
      </c>
      <c r="AB81" s="334">
        <v>0</v>
      </c>
      <c r="AC81" s="419"/>
      <c r="AD81" s="419"/>
      <c r="AE81" s="418">
        <v>0</v>
      </c>
      <c r="AF81" s="339"/>
      <c r="AG81" s="252" t="s">
        <v>522</v>
      </c>
      <c r="AH81" s="422"/>
      <c r="AI81" s="94"/>
      <c r="AJ81" s="94"/>
      <c r="AK81" s="94"/>
      <c r="AL81" s="94"/>
    </row>
    <row r="82" spans="2:38">
      <c r="B82" s="98">
        <v>8502104</v>
      </c>
      <c r="C82" s="94" t="s">
        <v>547</v>
      </c>
      <c r="F82" s="94" t="s">
        <v>185</v>
      </c>
      <c r="G82" s="94" t="s">
        <v>186</v>
      </c>
      <c r="J82" s="96">
        <v>0</v>
      </c>
      <c r="Z82" s="333" t="e">
        <v>#N/A</v>
      </c>
      <c r="AA82" s="333" t="e">
        <v>#N/A</v>
      </c>
      <c r="AB82" s="334">
        <v>0</v>
      </c>
      <c r="AC82" s="419"/>
      <c r="AD82" s="419"/>
      <c r="AE82" s="418">
        <v>0</v>
      </c>
      <c r="AF82" s="339"/>
      <c r="AG82" s="252" t="s">
        <v>522</v>
      </c>
      <c r="AH82" s="94"/>
      <c r="AI82" s="94"/>
      <c r="AJ82" s="94"/>
      <c r="AK82" s="94"/>
      <c r="AL82" s="94"/>
    </row>
    <row r="83" spans="2:38">
      <c r="B83" s="487">
        <v>8502071</v>
      </c>
      <c r="C83" s="140" t="s">
        <v>271</v>
      </c>
      <c r="F83" s="140" t="s">
        <v>185</v>
      </c>
      <c r="G83" s="140" t="s">
        <v>186</v>
      </c>
      <c r="Z83" s="333" t="s">
        <v>271</v>
      </c>
      <c r="AA83" s="333" t="s">
        <v>271</v>
      </c>
      <c r="AB83" s="600">
        <v>2.92</v>
      </c>
      <c r="AC83" s="417">
        <v>0</v>
      </c>
      <c r="AD83" s="418">
        <v>2.92</v>
      </c>
      <c r="AE83" s="418">
        <v>0</v>
      </c>
      <c r="AF83" s="342">
        <v>2.92</v>
      </c>
      <c r="AG83" s="94" t="s">
        <v>543</v>
      </c>
      <c r="AH83" s="422">
        <v>0</v>
      </c>
      <c r="AI83" s="94"/>
      <c r="AJ83" s="422">
        <v>0</v>
      </c>
      <c r="AK83" s="94"/>
      <c r="AL83" s="94"/>
    </row>
    <row r="84" spans="2:38">
      <c r="B84" s="487">
        <v>8502266</v>
      </c>
      <c r="C84" s="140" t="s">
        <v>302</v>
      </c>
      <c r="F84" s="140" t="s">
        <v>185</v>
      </c>
      <c r="G84" s="140" t="s">
        <v>186</v>
      </c>
      <c r="Z84" s="333" t="s">
        <v>302</v>
      </c>
      <c r="AA84" s="333" t="s">
        <v>302</v>
      </c>
      <c r="AB84" s="600">
        <v>3.5</v>
      </c>
      <c r="AC84" s="417">
        <v>0</v>
      </c>
      <c r="AD84" s="418">
        <v>3.5</v>
      </c>
      <c r="AE84" s="418">
        <v>0</v>
      </c>
      <c r="AF84" s="342">
        <v>3.5</v>
      </c>
      <c r="AG84" s="94" t="s">
        <v>543</v>
      </c>
      <c r="AH84" s="422">
        <v>0</v>
      </c>
      <c r="AI84" s="94"/>
      <c r="AJ84" s="422">
        <v>0</v>
      </c>
      <c r="AK84" s="94"/>
      <c r="AL84" s="94"/>
    </row>
    <row r="85" spans="2:38">
      <c r="B85" s="487">
        <v>8502206</v>
      </c>
      <c r="C85" s="140" t="s">
        <v>313</v>
      </c>
      <c r="F85" s="140" t="s">
        <v>185</v>
      </c>
      <c r="G85" s="140" t="s">
        <v>186</v>
      </c>
      <c r="Z85" s="333" t="s">
        <v>313</v>
      </c>
      <c r="AA85" s="333" t="s">
        <v>313</v>
      </c>
      <c r="AB85" s="600">
        <v>2.92</v>
      </c>
      <c r="AC85" s="417">
        <v>0</v>
      </c>
      <c r="AD85" s="418">
        <v>2.92</v>
      </c>
      <c r="AE85" s="418">
        <v>0</v>
      </c>
      <c r="AF85" s="342">
        <v>2.92</v>
      </c>
      <c r="AG85" s="94" t="s">
        <v>543</v>
      </c>
      <c r="AH85" s="422">
        <v>0</v>
      </c>
      <c r="AI85" s="94"/>
      <c r="AJ85" s="422">
        <v>0</v>
      </c>
      <c r="AK85" s="94"/>
      <c r="AL85" s="94"/>
    </row>
  </sheetData>
  <protectedRanges>
    <protectedRange algorithmName="SHA-512" hashValue="dvQjjDKNoDKh1YaT/cZmssUYSWHf5/hJJ5qX5DKzUh5KLgSe66jrcQjl+/dRm5I+LRkj8hNgtnvenZpCguJpRg==" saltValue="gkNOg4cFaAqS8N0dmWvM6g==" spinCount="100000" sqref="F60:G60 B60:C60" name="Range3_4_5"/>
    <protectedRange algorithmName="SHA-512" hashValue="dvQjjDKNoDKh1YaT/cZmssUYSWHf5/hJJ5qX5DKzUh5KLgSe66jrcQjl+/dRm5I+LRkj8hNgtnvenZpCguJpRg==" saltValue="gkNOg4cFaAqS8N0dmWvM6g==" spinCount="100000" sqref="F61:G61 B61:C61" name="Range3_4_1_1"/>
    <protectedRange algorithmName="SHA-512" hashValue="dvQjjDKNoDKh1YaT/cZmssUYSWHf5/hJJ5qX5DKzUh5KLgSe66jrcQjl+/dRm5I+LRkj8hNgtnvenZpCguJpRg==" saltValue="gkNOg4cFaAqS8N0dmWvM6g==" spinCount="100000" sqref="F62:G62 B62:C62" name="Range3_4_2_1"/>
    <protectedRange algorithmName="SHA-512" hashValue="dvQjjDKNoDKh1YaT/cZmssUYSWHf5/hJJ5qX5DKzUh5KLgSe66jrcQjl+/dRm5I+LRkj8hNgtnvenZpCguJpRg==" saltValue="gkNOg4cFaAqS8N0dmWvM6g==" spinCount="100000" sqref="F63:G63 B63:C63" name="Range3_4_3_1"/>
    <protectedRange algorithmName="SHA-512" hashValue="dvQjjDKNoDKh1YaT/cZmssUYSWHf5/hJJ5qX5DKzUh5KLgSe66jrcQjl+/dRm5I+LRkj8hNgtnvenZpCguJpRg==" saltValue="gkNOg4cFaAqS8N0dmWvM6g==" spinCount="100000" sqref="F64:G64 B64:C64" name="Range3_4_4_1"/>
    <protectedRange algorithmName="SHA-512" hashValue="dvQjjDKNoDKh1YaT/cZmssUYSWHf5/hJJ5qX5DKzUh5KLgSe66jrcQjl+/dRm5I+LRkj8hNgtnvenZpCguJpRg==" saltValue="gkNOg4cFaAqS8N0dmWvM6g==" spinCount="100000" sqref="F65:G66 B65:C66 F83:G85 B83:C85" name="Range3_4_5_1"/>
    <protectedRange algorithmName="SHA-512" hashValue="dvQjjDKNoDKh1YaT/cZmssUYSWHf5/hJJ5qX5DKzUh5KLgSe66jrcQjl+/dRm5I+LRkj8hNgtnvenZpCguJpRg==" saltValue="gkNOg4cFaAqS8N0dmWvM6g==" spinCount="100000" sqref="F67:G68 B67:C68" name="Range3_4_6"/>
    <protectedRange algorithmName="SHA-512" hashValue="dvQjjDKNoDKh1YaT/cZmssUYSWHf5/hJJ5qX5DKzUh5KLgSe66jrcQjl+/dRm5I+LRkj8hNgtnvenZpCguJpRg==" saltValue="gkNOg4cFaAqS8N0dmWvM6g==" spinCount="100000" sqref="F69:G69 B69:C69" name="Range3_4_7_1"/>
    <protectedRange algorithmName="SHA-512" hashValue="dvQjjDKNoDKh1YaT/cZmssUYSWHf5/hJJ5qX5DKzUh5KLgSe66jrcQjl+/dRm5I+LRkj8hNgtnvenZpCguJpRg==" saltValue="gkNOg4cFaAqS8N0dmWvM6g==" spinCount="100000" sqref="F70:G71 B70:C71" name="Range3_4_8_1"/>
    <protectedRange algorithmName="SHA-512" hashValue="dvQjjDKNoDKh1YaT/cZmssUYSWHf5/hJJ5qX5DKzUh5KLgSe66jrcQjl+/dRm5I+LRkj8hNgtnvenZpCguJpRg==" saltValue="gkNOg4cFaAqS8N0dmWvM6g==" spinCount="100000" sqref="F72:G72 B72:C72" name="Range3_4_9_1"/>
    <protectedRange algorithmName="SHA-512" hashValue="dvQjjDKNoDKh1YaT/cZmssUYSWHf5/hJJ5qX5DKzUh5KLgSe66jrcQjl+/dRm5I+LRkj8hNgtnvenZpCguJpRg==" saltValue="gkNOg4cFaAqS8N0dmWvM6g==" spinCount="100000" sqref="F73:G74 B73:C74" name="Range3_4_10_1"/>
    <protectedRange algorithmName="SHA-512" hashValue="dvQjjDKNoDKh1YaT/cZmssUYSWHf5/hJJ5qX5DKzUh5KLgSe66jrcQjl+/dRm5I+LRkj8hNgtnvenZpCguJpRg==" saltValue="gkNOg4cFaAqS8N0dmWvM6g==" spinCount="100000" sqref="F75:G75 B75:C75" name="Range3_4_11_1"/>
    <protectedRange algorithmName="SHA-512" hashValue="dvQjjDKNoDKh1YaT/cZmssUYSWHf5/hJJ5qX5DKzUh5KLgSe66jrcQjl+/dRm5I+LRkj8hNgtnvenZpCguJpRg==" saltValue="gkNOg4cFaAqS8N0dmWvM6g==" spinCount="100000" sqref="F76:G76 B76:C76" name="Range3_4_12"/>
    <protectedRange algorithmName="SHA-512" hashValue="dvQjjDKNoDKh1YaT/cZmssUYSWHf5/hJJ5qX5DKzUh5KLgSe66jrcQjl+/dRm5I+LRkj8hNgtnvenZpCguJpRg==" saltValue="gkNOg4cFaAqS8N0dmWvM6g==" spinCount="100000" sqref="F77:G77 B77:C77" name="Range3_4_13_1"/>
    <protectedRange algorithmName="SHA-512" hashValue="dvQjjDKNoDKh1YaT/cZmssUYSWHf5/hJJ5qX5DKzUh5KLgSe66jrcQjl+/dRm5I+LRkj8hNgtnvenZpCguJpRg==" saltValue="gkNOg4cFaAqS8N0dmWvM6g==" spinCount="100000" sqref="F78:G79 B78:C79" name="Range3_4_14"/>
    <protectedRange algorithmName="SHA-512" hashValue="dvQjjDKNoDKh1YaT/cZmssUYSWHf5/hJJ5qX5DKzUh5KLgSe66jrcQjl+/dRm5I+LRkj8hNgtnvenZpCguJpRg==" saltValue="gkNOg4cFaAqS8N0dmWvM6g==" spinCount="100000" sqref="F80:G80 B80:C80" name="Range3_4_15_1"/>
  </protectedRanges>
  <autoFilter ref="A11:XFC85" xr:uid="{80438A0C-DFF7-47A2-B21A-BCC9EA5E6847}">
    <filterColumn colId="32">
      <filters blank="1">
        <filter val="Combine Infant and Junior School NOR"/>
        <filter val="New RP Sep 2026"/>
        <filter val="Newly open in Sep 2025 - check with JW as to occupancy in October"/>
        <filter val="Newly open in Sep 2025 - check with JW as to occupancy in October - no pupils able to be placed in October"/>
        <filter val="Nursery resourced provision"/>
      </filters>
    </filterColumn>
  </autoFilter>
  <mergeCells count="2">
    <mergeCell ref="H9:Y9"/>
    <mergeCell ref="AA4:AC4"/>
  </mergeCells>
  <hyperlinks>
    <hyperlink ref="AB9" r:id="rId1" xr:uid="{615B0839-51B7-41FA-9E12-22B38EAB1D99}"/>
  </hyperlinks>
  <pageMargins left="0.7" right="0.7" top="0.75" bottom="0.75" header="0.3" footer="0.3"/>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theme="6" tint="0.59999389629810485"/>
  </sheetPr>
  <dimension ref="A1:AH86"/>
  <sheetViews>
    <sheetView topLeftCell="A4" workbookViewId="0">
      <selection activeCell="E53" sqref="E53"/>
    </sheetView>
  </sheetViews>
  <sheetFormatPr defaultColWidth="9.140625" defaultRowHeight="15"/>
  <cols>
    <col min="1" max="1" width="10.140625" customWidth="1"/>
    <col min="2" max="2" width="33.85546875" bestFit="1" customWidth="1"/>
    <col min="3" max="4" width="11.5703125" style="8" customWidth="1"/>
    <col min="5" max="6" width="11.5703125" customWidth="1"/>
    <col min="7" max="9" width="11" customWidth="1"/>
    <col min="10" max="10" width="11" hidden="1" customWidth="1"/>
    <col min="11" max="17" width="11" customWidth="1"/>
    <col min="18" max="19" width="10.85546875" customWidth="1"/>
    <col min="20" max="22" width="10.5703125" customWidth="1"/>
    <col min="23" max="23" width="11.140625" customWidth="1"/>
    <col min="24" max="24" width="15.5703125" style="13" customWidth="1"/>
    <col min="25" max="29" width="15.5703125" customWidth="1"/>
    <col min="30" max="31" width="1.5703125" customWidth="1"/>
    <col min="32" max="34" width="15.5703125" customWidth="1"/>
    <col min="35" max="35" width="12.5703125" customWidth="1"/>
  </cols>
  <sheetData>
    <row r="1" spans="1:34">
      <c r="A1" s="8">
        <v>1</v>
      </c>
      <c r="B1" s="8">
        <f>A1+1</f>
        <v>2</v>
      </c>
      <c r="C1" s="8">
        <f t="shared" ref="C1:AC1" si="0">B1+1</f>
        <v>3</v>
      </c>
      <c r="D1" s="8">
        <f t="shared" si="0"/>
        <v>4</v>
      </c>
      <c r="E1" s="8">
        <f t="shared" si="0"/>
        <v>5</v>
      </c>
      <c r="F1" s="8">
        <f t="shared" si="0"/>
        <v>6</v>
      </c>
      <c r="G1" s="8">
        <f t="shared" si="0"/>
        <v>7</v>
      </c>
      <c r="H1" s="8">
        <f t="shared" si="0"/>
        <v>8</v>
      </c>
      <c r="I1" s="8">
        <f t="shared" si="0"/>
        <v>9</v>
      </c>
      <c r="J1" s="8">
        <f t="shared" si="0"/>
        <v>10</v>
      </c>
      <c r="K1" s="8">
        <f t="shared" si="0"/>
        <v>11</v>
      </c>
      <c r="L1" s="8">
        <f t="shared" si="0"/>
        <v>12</v>
      </c>
      <c r="M1" s="8">
        <f t="shared" si="0"/>
        <v>13</v>
      </c>
      <c r="N1" s="8">
        <f t="shared" si="0"/>
        <v>14</v>
      </c>
      <c r="O1" s="8">
        <f t="shared" si="0"/>
        <v>15</v>
      </c>
      <c r="P1" s="8">
        <f t="shared" si="0"/>
        <v>16</v>
      </c>
      <c r="Q1" s="8">
        <f t="shared" si="0"/>
        <v>17</v>
      </c>
      <c r="R1" s="8">
        <f t="shared" si="0"/>
        <v>18</v>
      </c>
      <c r="S1" s="8">
        <f t="shared" si="0"/>
        <v>19</v>
      </c>
      <c r="T1" s="8">
        <f t="shared" si="0"/>
        <v>20</v>
      </c>
      <c r="U1" s="8">
        <f t="shared" si="0"/>
        <v>21</v>
      </c>
      <c r="V1" s="8">
        <f t="shared" si="0"/>
        <v>22</v>
      </c>
      <c r="W1" s="8">
        <f t="shared" si="0"/>
        <v>23</v>
      </c>
      <c r="X1" s="8">
        <f t="shared" si="0"/>
        <v>24</v>
      </c>
      <c r="Y1" s="8">
        <f t="shared" si="0"/>
        <v>25</v>
      </c>
      <c r="Z1" s="8">
        <f t="shared" si="0"/>
        <v>26</v>
      </c>
      <c r="AA1" s="8">
        <f t="shared" si="0"/>
        <v>27</v>
      </c>
      <c r="AB1" s="8">
        <f t="shared" si="0"/>
        <v>28</v>
      </c>
      <c r="AC1" s="8">
        <f t="shared" si="0"/>
        <v>29</v>
      </c>
    </row>
    <row r="2" spans="1:34">
      <c r="B2" s="394" t="s">
        <v>548</v>
      </c>
      <c r="C2" s="395" t="s">
        <v>212</v>
      </c>
      <c r="D2" s="395"/>
      <c r="E2" s="396"/>
      <c r="F2" s="396"/>
      <c r="G2" s="407">
        <v>10756</v>
      </c>
      <c r="H2" s="408">
        <v>8398</v>
      </c>
      <c r="I2" s="408">
        <v>1379</v>
      </c>
      <c r="J2" s="408">
        <v>2209</v>
      </c>
      <c r="K2" s="408"/>
      <c r="L2" s="408"/>
      <c r="M2" s="408">
        <v>12450</v>
      </c>
      <c r="N2" s="408">
        <v>5024</v>
      </c>
      <c r="O2" s="408">
        <v>2659</v>
      </c>
      <c r="P2" s="408"/>
      <c r="Q2" s="408">
        <v>13358</v>
      </c>
      <c r="R2" s="408"/>
      <c r="S2" s="408"/>
      <c r="T2" s="408">
        <v>6496</v>
      </c>
      <c r="U2" s="408">
        <v>8319</v>
      </c>
      <c r="X2"/>
      <c r="AG2" s="11"/>
    </row>
    <row r="3" spans="1:34" ht="15" customHeight="1">
      <c r="B3" s="40"/>
      <c r="C3" s="395" t="s">
        <v>217</v>
      </c>
      <c r="D3" s="395"/>
      <c r="E3" s="396"/>
      <c r="F3" s="396"/>
      <c r="G3" s="408">
        <v>9912</v>
      </c>
      <c r="H3" s="408">
        <v>5966</v>
      </c>
      <c r="I3" s="407">
        <v>2872</v>
      </c>
      <c r="J3" s="408">
        <v>0</v>
      </c>
      <c r="K3" s="408">
        <v>11437</v>
      </c>
      <c r="L3" s="408">
        <v>14282</v>
      </c>
      <c r="M3" s="407">
        <v>11220</v>
      </c>
      <c r="N3" s="408">
        <v>4919</v>
      </c>
      <c r="O3" s="407"/>
      <c r="P3" s="408">
        <v>1160</v>
      </c>
      <c r="Q3" s="408">
        <v>12347</v>
      </c>
      <c r="R3" s="407"/>
      <c r="S3" s="407"/>
      <c r="T3" s="408">
        <v>6496</v>
      </c>
      <c r="U3" s="408">
        <v>15593</v>
      </c>
      <c r="X3"/>
      <c r="AD3" s="11"/>
      <c r="AG3" s="53"/>
    </row>
    <row r="4" spans="1:34" ht="15" customHeight="1">
      <c r="B4" s="397" t="s">
        <v>549</v>
      </c>
      <c r="C4" s="369" t="s">
        <v>212</v>
      </c>
      <c r="D4" s="369"/>
      <c r="E4" s="370"/>
      <c r="F4" s="370"/>
      <c r="G4" s="406">
        <f>asc_pri</f>
        <v>11108</v>
      </c>
      <c r="H4" s="405">
        <f>HI_PRI</f>
        <v>8701</v>
      </c>
      <c r="I4" s="405">
        <f>MLD_PRI</f>
        <v>1534</v>
      </c>
      <c r="J4" s="405">
        <f>NA_PRI</f>
        <v>2382</v>
      </c>
      <c r="K4" s="405"/>
      <c r="L4" s="405"/>
      <c r="M4" s="405">
        <f>SEMH_PRI</f>
        <v>12838</v>
      </c>
      <c r="N4" s="405">
        <f>SLCN_PRI</f>
        <v>5256</v>
      </c>
      <c r="O4" s="405">
        <f>SLD_PRI</f>
        <v>2841</v>
      </c>
      <c r="P4" s="405"/>
      <c r="Q4" s="405">
        <f>VI_PRI</f>
        <v>13765</v>
      </c>
      <c r="R4" s="405"/>
      <c r="S4" s="405"/>
      <c r="T4" s="405">
        <f>TACT_PRI</f>
        <v>6633</v>
      </c>
      <c r="U4" s="405">
        <f>SIGN_PRI</f>
        <v>8494</v>
      </c>
      <c r="Z4" s="11"/>
      <c r="AA4" s="11"/>
      <c r="AB4" s="11"/>
      <c r="AC4" s="11"/>
      <c r="AD4" s="11"/>
      <c r="AG4" s="53"/>
    </row>
    <row r="5" spans="1:34" ht="15" customHeight="1">
      <c r="B5" s="39"/>
      <c r="C5" s="369" t="s">
        <v>217</v>
      </c>
      <c r="D5" s="369"/>
      <c r="E5" s="370"/>
      <c r="F5" s="370"/>
      <c r="G5" s="405">
        <f>asc_sec</f>
        <v>10247</v>
      </c>
      <c r="H5" s="405">
        <f>HI_SEC</f>
        <v>6218</v>
      </c>
      <c r="I5" s="406">
        <f>MLD_SEC</f>
        <v>3059</v>
      </c>
      <c r="J5" s="405">
        <f>NA_SEC</f>
        <v>0</v>
      </c>
      <c r="K5" s="405">
        <f>PD_SEC</f>
        <v>11804</v>
      </c>
      <c r="L5" s="405">
        <f>PD_SEC_SMALL</f>
        <v>14708</v>
      </c>
      <c r="M5" s="406">
        <f>SEMH_SEC</f>
        <v>11582</v>
      </c>
      <c r="N5" s="405">
        <f>SLCN_SEC</f>
        <v>5149</v>
      </c>
      <c r="O5" s="406"/>
      <c r="P5" s="405">
        <f>SPLD_SEC</f>
        <v>1311</v>
      </c>
      <c r="Q5" s="405">
        <f>VI_SEC</f>
        <v>12733</v>
      </c>
      <c r="R5" s="406"/>
      <c r="S5" s="406"/>
      <c r="T5" s="405">
        <f>TACT_SEC</f>
        <v>6633</v>
      </c>
      <c r="U5" s="405">
        <f>SIGN_SEC</f>
        <v>15921</v>
      </c>
      <c r="X5" s="398">
        <f t="shared" ref="X5:AC5" si="1">SUM(X8:X85)</f>
        <v>3386</v>
      </c>
      <c r="Y5" s="398">
        <f t="shared" si="1"/>
        <v>8736723.5999999996</v>
      </c>
      <c r="Z5" s="398">
        <f t="shared" si="1"/>
        <v>8736723.5999999996</v>
      </c>
      <c r="AA5" s="398">
        <f t="shared" si="1"/>
        <v>8892491.4399999995</v>
      </c>
      <c r="AB5" s="398">
        <f t="shared" si="1"/>
        <v>10305</v>
      </c>
      <c r="AC5" s="398">
        <f t="shared" si="1"/>
        <v>2902</v>
      </c>
      <c r="AD5" s="11"/>
      <c r="AG5" s="53"/>
    </row>
    <row r="6" spans="1:34" ht="15" customHeight="1" thickBot="1">
      <c r="J6" s="12"/>
      <c r="K6" s="14"/>
      <c r="L6" s="14"/>
      <c r="M6" s="14"/>
      <c r="N6" s="12"/>
      <c r="O6" s="14"/>
      <c r="P6" s="12"/>
      <c r="Q6" s="14"/>
      <c r="R6" s="112"/>
      <c r="S6" s="112"/>
      <c r="T6" s="113"/>
      <c r="U6" s="113"/>
      <c r="V6" s="114"/>
      <c r="W6" s="112"/>
      <c r="X6" s="114"/>
      <c r="Z6" s="11"/>
      <c r="AA6" s="11"/>
      <c r="AB6" s="11"/>
      <c r="AC6" s="11"/>
      <c r="AD6" s="11"/>
      <c r="AF6" t="s">
        <v>550</v>
      </c>
    </row>
    <row r="7" spans="1:34" s="2" customFormat="1" ht="113.25" thickBot="1">
      <c r="C7" s="2" t="s">
        <v>551</v>
      </c>
      <c r="D7" s="2" t="s">
        <v>552</v>
      </c>
      <c r="E7" s="207" t="s">
        <v>553</v>
      </c>
      <c r="F7" s="208" t="s">
        <v>554</v>
      </c>
      <c r="G7" s="413" t="s">
        <v>141</v>
      </c>
      <c r="H7" s="414" t="s">
        <v>215</v>
      </c>
      <c r="I7" s="414" t="s">
        <v>143</v>
      </c>
      <c r="J7" s="414" t="s">
        <v>337</v>
      </c>
      <c r="K7" s="414" t="s">
        <v>221</v>
      </c>
      <c r="L7" s="414" t="s">
        <v>220</v>
      </c>
      <c r="M7" s="414" t="s">
        <v>130</v>
      </c>
      <c r="N7" s="414" t="s">
        <v>142</v>
      </c>
      <c r="O7" s="414" t="s">
        <v>213</v>
      </c>
      <c r="P7" s="414" t="s">
        <v>218</v>
      </c>
      <c r="Q7" s="415" t="s">
        <v>214</v>
      </c>
      <c r="R7" s="240" t="s">
        <v>555</v>
      </c>
      <c r="S7" s="241" t="s">
        <v>556</v>
      </c>
      <c r="T7" s="73" t="s">
        <v>557</v>
      </c>
      <c r="U7" s="41" t="s">
        <v>558</v>
      </c>
      <c r="V7" s="41" t="s">
        <v>559</v>
      </c>
      <c r="W7" s="74" t="s">
        <v>560</v>
      </c>
      <c r="X7" s="416" t="s">
        <v>561</v>
      </c>
      <c r="Y7" s="238" t="s">
        <v>562</v>
      </c>
      <c r="Z7" s="239" t="s">
        <v>563</v>
      </c>
      <c r="AA7" s="111" t="s">
        <v>564</v>
      </c>
      <c r="AB7" s="111" t="s">
        <v>565</v>
      </c>
      <c r="AC7" s="188" t="s">
        <v>566</v>
      </c>
      <c r="AF7" s="191" t="s">
        <v>567</v>
      </c>
      <c r="AG7" s="226" t="s">
        <v>561</v>
      </c>
      <c r="AH7" s="222" t="s">
        <v>568</v>
      </c>
    </row>
    <row r="8" spans="1:34">
      <c r="A8" s="8">
        <v>8502005</v>
      </c>
      <c r="B8" t="s">
        <v>0</v>
      </c>
      <c r="C8" s="16">
        <f>IFERROR(VLOOKUP(RIGHT($A8,4)*1,'Autumn term 2025'!$AA$6:$AM$57,12,FALSE),0)</f>
        <v>32</v>
      </c>
      <c r="D8" s="16">
        <f>SUMIF(APN!$A$3:$A$97,(RIGHT($A8,4)*1),APN!$K$3:$K$97)</f>
        <v>28.666666666666664</v>
      </c>
      <c r="E8" s="209">
        <f>D8*Values!$J$17</f>
        <v>172000</v>
      </c>
      <c r="F8" s="409">
        <f t="shared" ref="F8" si="2">D8*place</f>
        <v>172000</v>
      </c>
      <c r="G8" s="210" cm="1">
        <f t="array" ref="G8">IFERROR(INDEX('Autumn term 2025'!$AB$6:$AM$53,_xlfn.XMATCH(RIGHT(MFG!$A8,4)*1,'Autumn term 2025'!$AA$6:$AA$53),_xlfn.XMATCH(MFG!G$7,'Autumn term 2025'!$AB$5:$AM$5)),0)</f>
        <v>0</v>
      </c>
      <c r="H8" s="211" cm="1">
        <f t="array" ref="H8">IFERROR(INDEX('Autumn term 2025'!$AB$6:$AM$53,_xlfn.XMATCH(RIGHT(MFG!$A8,4)*1,'Autumn term 2025'!$AA$6:$AA$53),_xlfn.XMATCH(MFG!H$7,'Autumn term 2025'!$AB$5:$AM$5)),0)</f>
        <v>0</v>
      </c>
      <c r="I8" s="211" cm="1">
        <f t="array" ref="I8">IFERROR(INDEX('Autumn term 2025'!$AB$6:$AM$53,_xlfn.XMATCH(RIGHT(MFG!$A8,4)*1,'Autumn term 2025'!$AA$6:$AA$53),_xlfn.XMATCH(MFG!I$7,'Autumn term 2025'!$AB$5:$AM$5)),0)</f>
        <v>0</v>
      </c>
      <c r="J8" s="211" cm="1">
        <f t="array" ref="J8">IFERROR(INDEX('Autumn term 2025'!$AB$6:$AM$53,_xlfn.XMATCH(RIGHT(MFG!$A8,4)*1,'Autumn term 2025'!$AA$6:$AA$53),_xlfn.XMATCH(MFG!J$7,'Autumn term 2025'!$AB$5:$AM$5)),0)</f>
        <v>0</v>
      </c>
      <c r="K8" s="211" cm="1">
        <f t="array" ref="K8">IFERROR(INDEX('Autumn term 2025'!$AB$6:$AM$53,_xlfn.XMATCH(RIGHT(MFG!$A8,4)*1,'Autumn term 2025'!$AA$6:$AA$53),_xlfn.XMATCH(MFG!K$7,'Autumn term 2025'!$AB$5:$AM$5)),0)</f>
        <v>0</v>
      </c>
      <c r="L8" s="211" cm="1">
        <f t="array" ref="L8">IFERROR(INDEX('Autumn term 2025'!$AB$6:$AM$53,_xlfn.XMATCH(RIGHT(MFG!$A8,4)*1,'Autumn term 2025'!$AA$6:$AA$53),_xlfn.XMATCH(MFG!L$7,'Autumn term 2025'!$AB$5:$AM$5)),0)</f>
        <v>0</v>
      </c>
      <c r="M8" s="211" cm="1">
        <f t="array" ref="M8">IFERROR(INDEX('Autumn term 2025'!$AB$6:$AM$53,_xlfn.XMATCH(RIGHT(MFG!$A8,4)*1,'Autumn term 2025'!$AA$6:$AA$53),_xlfn.XMATCH(MFG!M$7,'Autumn term 2025'!$AB$5:$AM$5)),0)</f>
        <v>0</v>
      </c>
      <c r="N8" s="211" cm="1">
        <f t="array" ref="N8">IFERROR(INDEX('Autumn term 2025'!$AB$6:$AM$53,_xlfn.XMATCH(RIGHT(MFG!$A8,4)*1,'Autumn term 2025'!$AA$6:$AA$53),_xlfn.XMATCH(MFG!N$7,'Autumn term 2025'!$AB$5:$AM$5)),0)</f>
        <v>0</v>
      </c>
      <c r="O8" s="211" cm="1">
        <f t="array" ref="O8">IFERROR(INDEX('Autumn term 2025'!$AB$6:$AM$53,_xlfn.XMATCH(RIGHT(MFG!$A8,4)*1,'Autumn term 2025'!$AA$6:$AA$53),_xlfn.XMATCH(MFG!O$7,'Autumn term 2025'!$AB$5:$AM$5)),0)</f>
        <v>32</v>
      </c>
      <c r="P8" s="211" cm="1">
        <f t="array" ref="P8">IFERROR(INDEX('Autumn term 2025'!$AB$6:$AM$53,_xlfn.XMATCH(RIGHT(MFG!$A8,4)*1,'Autumn term 2025'!$AA$6:$AA$53),_xlfn.XMATCH(MFG!P$7,'Autumn term 2025'!$AB$5:$AM$5)),0)</f>
        <v>0</v>
      </c>
      <c r="Q8" s="212" cm="1">
        <f t="array" ref="Q8">IFERROR(INDEX('Autumn term 2025'!$AB$6:$AM$53,_xlfn.XMATCH(RIGHT(MFG!$A8,4)*1,'Autumn term 2025'!$AA$6:$AA$53),_xlfn.XMATCH(MFG!Q$7,'Autumn term 2025'!$AB$5:$AM$5)),0)</f>
        <v>0</v>
      </c>
      <c r="R8" s="411">
        <f>IF(VLOOKUP($A8,Data!$A$4:$I$81,9,FALSE)="PRI",G8*$G$2+H8*$H$2+I8*$I$2+J8*$J$2+K8*$K$2+L8*$L$2+M8*$M$2+N8*$N$2+O8*$O$2+P8*$P$2+Q8*$Q$2,G8*$G$3+H8*$H$3+I8*$I$3+J8*$J$3+K8*$K$3+L8*$L$3+M8*$M$3+N8*$N$3+O8*$O$3+P8*$P$3+Q8*$Q$3)</f>
        <v>85088</v>
      </c>
      <c r="S8" s="144">
        <f>IF(VLOOKUP($A8,Data!$A$4:$I$81,9,FALSE)="PRI",G8*$G$4+H8*$H$4+I8*$I$4+J8*$J$4+K8*$K$4+L8*$L$4+M8*$M$4+N8*$N$4+O8*$O$4+P8*$P$4+Q8*$Q$4,G8*$G$5+H8*$H$5+I8*$I$5+J8*$J$5+K8*$K$5+L8*$L$5+M8*$M$5+N8*$N$5+O8*$O$5+P8*$P$5+Q8*$Q$5)</f>
        <v>90912</v>
      </c>
      <c r="T8" s="229">
        <f>IFERROR(VLOOKUP(RIGHT($A8,4)*1,'Autumn term 2025'!$U$6:$X$16,3,FALSE),0)</f>
        <v>0</v>
      </c>
      <c r="U8" s="230">
        <f>IFERROR(VLOOKUP(RIGHT($A8,4)*1,'Autumn term 2025'!$U$6:$X$16,2,FALSE),0)</f>
        <v>0</v>
      </c>
      <c r="V8" s="231">
        <f>IF(VLOOKUP($A8,Data!$A$3:$I$81,9,FALSE)="Pri",T8*$T$2+U8*$U$2,T8*$T$3+U8*$U$3)</f>
        <v>0</v>
      </c>
      <c r="W8" s="232">
        <f>IF(VLOOKUP($A8,Data!$A$3:$I$81,9,FALSE)="Pri",T8*$T$4+U8*$U$4,T8*$T$5+U8*$U$5)</f>
        <v>0</v>
      </c>
      <c r="X8" s="233">
        <f>AG8</f>
        <v>0</v>
      </c>
      <c r="Y8" s="399">
        <f>E8+R8+V8+(X8*C8)</f>
        <v>257088</v>
      </c>
      <c r="Z8" s="234">
        <f>(Y8*1)</f>
        <v>257088</v>
      </c>
      <c r="AA8" s="46">
        <f>F8+S8+W8</f>
        <v>262912</v>
      </c>
      <c r="AB8" s="400">
        <f>MAX(0,Z8-AA8)</f>
        <v>0</v>
      </c>
      <c r="AC8" s="21">
        <f>IFERROR(ROUND(AB8/C8,0),0)</f>
        <v>0</v>
      </c>
      <c r="AD8" s="11"/>
      <c r="AE8" s="11"/>
      <c r="AF8" s="189">
        <f>IFERROR(VLOOKUP(A8,'25-26 MFG'!A:D,3,FALSE),0)</f>
        <v>0</v>
      </c>
      <c r="AG8" s="190">
        <f>IFERROR(VLOOKUP(A8,'25-26 MFG'!A:D,4,FALSE),0)</f>
        <v>0</v>
      </c>
      <c r="AH8" s="223">
        <f t="shared" ref="AH8" si="3">AC8-AG8</f>
        <v>0</v>
      </c>
    </row>
    <row r="9" spans="1:34">
      <c r="A9" s="7">
        <v>8502011</v>
      </c>
      <c r="B9" t="s">
        <v>1</v>
      </c>
      <c r="C9" s="16">
        <f>IFERROR(VLOOKUP(RIGHT($A9,4)*1,'Autumn term 2025'!$AA$6:$AM$57,12,FALSE),0)</f>
        <v>1</v>
      </c>
      <c r="D9" s="16">
        <f>SUMIF(APN!$A$3:$A$97,(RIGHT($A9,4)*1),APN!$K$3:$K$97)</f>
        <v>6</v>
      </c>
      <c r="E9" s="209">
        <f>D9*Values!$J$17</f>
        <v>36000</v>
      </c>
      <c r="F9" s="410">
        <f t="shared" ref="F9:F11" si="4">D9*place</f>
        <v>36000</v>
      </c>
      <c r="G9" s="402" cm="1">
        <f t="array" ref="G9">IFERROR(INDEX('Autumn term 2025'!$AB$6:$AM$53,_xlfn.XMATCH(RIGHT(MFG!$A9,4)*1,'Autumn term 2025'!$AA$6:$AA$53),_xlfn.XMATCH(MFG!G$7,'Autumn term 2025'!$AB$5:$AM$5)),0)</f>
        <v>0</v>
      </c>
      <c r="H9" s="403" cm="1">
        <f t="array" ref="H9">IFERROR(INDEX('Autumn term 2025'!$AB$6:$AM$53,_xlfn.XMATCH(RIGHT(MFG!$A9,4)*1,'Autumn term 2025'!$AA$6:$AA$53),_xlfn.XMATCH(MFG!H$7,'Autumn term 2025'!$AB$5:$AM$5)),0)</f>
        <v>0</v>
      </c>
      <c r="I9" s="403" cm="1">
        <f t="array" ref="I9">IFERROR(INDEX('Autumn term 2025'!$AB$6:$AM$53,_xlfn.XMATCH(RIGHT(MFG!$A9,4)*1,'Autumn term 2025'!$AA$6:$AA$53),_xlfn.XMATCH(MFG!I$7,'Autumn term 2025'!$AB$5:$AM$5)),0)</f>
        <v>0</v>
      </c>
      <c r="J9" s="403" cm="1">
        <f t="array" ref="J9">IFERROR(INDEX('Autumn term 2025'!$AB$6:$AM$53,_xlfn.XMATCH(RIGHT(MFG!$A9,4)*1,'Autumn term 2025'!$AA$6:$AA$53),_xlfn.XMATCH(MFG!J$7,'Autumn term 2025'!$AB$5:$AM$5)),0)</f>
        <v>0</v>
      </c>
      <c r="K9" s="403" cm="1">
        <f t="array" ref="K9">IFERROR(INDEX('Autumn term 2025'!$AB$6:$AM$53,_xlfn.XMATCH(RIGHT(MFG!$A9,4)*1,'Autumn term 2025'!$AA$6:$AA$53),_xlfn.XMATCH(MFG!K$7,'Autumn term 2025'!$AB$5:$AM$5)),0)</f>
        <v>0</v>
      </c>
      <c r="L9" s="403" cm="1">
        <f t="array" ref="L9">IFERROR(INDEX('Autumn term 2025'!$AB$6:$AM$53,_xlfn.XMATCH(RIGHT(MFG!$A9,4)*1,'Autumn term 2025'!$AA$6:$AA$53),_xlfn.XMATCH(MFG!L$7,'Autumn term 2025'!$AB$5:$AM$5)),0)</f>
        <v>0</v>
      </c>
      <c r="M9" s="403" cm="1">
        <f t="array" ref="M9">IFERROR(INDEX('Autumn term 2025'!$AB$6:$AM$53,_xlfn.XMATCH(RIGHT(MFG!$A9,4)*1,'Autumn term 2025'!$AA$6:$AA$53),_xlfn.XMATCH(MFG!M$7,'Autumn term 2025'!$AB$5:$AM$5)),0)</f>
        <v>0</v>
      </c>
      <c r="N9" s="403" cm="1">
        <f t="array" ref="N9">IFERROR(INDEX('Autumn term 2025'!$AB$6:$AM$53,_xlfn.XMATCH(RIGHT(MFG!$A9,4)*1,'Autumn term 2025'!$AA$6:$AA$53),_xlfn.XMATCH(MFG!N$7,'Autumn term 2025'!$AB$5:$AM$5)),0)</f>
        <v>0</v>
      </c>
      <c r="O9" s="403" cm="1">
        <f t="array" ref="O9">IFERROR(INDEX('Autumn term 2025'!$AB$6:$AM$53,_xlfn.XMATCH(RIGHT(MFG!$A9,4)*1,'Autumn term 2025'!$AA$6:$AA$53),_xlfn.XMATCH(MFG!O$7,'Autumn term 2025'!$AB$5:$AM$5)),0)</f>
        <v>0</v>
      </c>
      <c r="P9" s="403" cm="1">
        <f t="array" ref="P9">IFERROR(INDEX('Autumn term 2025'!$AB$6:$AM$53,_xlfn.XMATCH(RIGHT(MFG!$A9,4)*1,'Autumn term 2025'!$AA$6:$AA$53),_xlfn.XMATCH(MFG!P$7,'Autumn term 2025'!$AB$5:$AM$5)),0)</f>
        <v>0</v>
      </c>
      <c r="Q9" s="404" cm="1">
        <f t="array" ref="Q9">IFERROR(INDEX('Autumn term 2025'!$AB$6:$AM$53,_xlfn.XMATCH(RIGHT(MFG!$A9,4)*1,'Autumn term 2025'!$AA$6:$AA$53),_xlfn.XMATCH(MFG!Q$7,'Autumn term 2025'!$AB$5:$AM$5)),0)</f>
        <v>1</v>
      </c>
      <c r="R9" s="412">
        <f>IF(VLOOKUP($A9,Data!$A$4:$I$81,9,FALSE)="PRI",G9*$G$2+H9*$H$2+I9*$I$2+J9*$J$2+K9*$K$2+L9*$L$2+M9*$M$2+N9*$N$2+O9*$O$2+P9*$P$2+Q9*$Q$2,G9*$G$3+H9*$H$3+I9*$I$3+J9*$J$3+K9*$K$3+L9*$L$3+M9*$M$3+N9*$N$3+O9*$O$3+P9*$P$3+Q9*$Q$3)</f>
        <v>13358</v>
      </c>
      <c r="S9" s="145">
        <f>IF(VLOOKUP($A9,Data!$A$4:$I$81,9,FALSE)="PRI",G9*$G$4+H9*$H$4+I9*$I$4+J9*$J$4+K9*$K$4+L9*$L$4+M9*$M$4+N9*$N$4+O9*$O$4+P9*$P$4+Q9*$Q$4,G9*$G$5+H9*$H$5+I9*$I$5+J9*$J$5+K9*$K$5+L9*$L$5+M9*$M$5+N9*$N$5+O9*$O$5+P9*$P$5+Q9*$Q$5)</f>
        <v>13765</v>
      </c>
      <c r="T9" s="229">
        <f>IFERROR(VLOOKUP(RIGHT($A9,4)*1,'Autumn term 2025'!$U$6:$X$16,3,FALSE),0)</f>
        <v>0</v>
      </c>
      <c r="U9" s="230">
        <f>IFERROR(VLOOKUP(RIGHT($A9,4)*1,'Autumn term 2025'!$U$6:$X$16,2,FALSE),0)</f>
        <v>0</v>
      </c>
      <c r="V9" s="231">
        <f>IF(VLOOKUP($A9,Data!$A$3:$I$81,9,FALSE)="Pri",T9*$T$2+U9*$U$2,T9*$T$3+U9*$U$3)</f>
        <v>0</v>
      </c>
      <c r="W9" s="232">
        <f>IF(VLOOKUP($A9,Data!$A$3:$I$81,9,FALSE)="Pri",T9*$T$4+U9*$U$4,T9*$T$5+U9*$U$5)</f>
        <v>0</v>
      </c>
      <c r="X9" s="235">
        <f t="shared" ref="X9:X11" si="5">AG9</f>
        <v>0</v>
      </c>
      <c r="Y9" s="399">
        <f t="shared" ref="Y9:Y11" si="6">E9+R9+V9+(X9*C9)</f>
        <v>49358</v>
      </c>
      <c r="Z9" s="234">
        <f t="shared" ref="Z9:Z11" si="7">(Y9*1)</f>
        <v>49358</v>
      </c>
      <c r="AA9" s="46">
        <f t="shared" ref="AA9:AA11" si="8">F9+S9+W9</f>
        <v>49765</v>
      </c>
      <c r="AB9" s="400">
        <f t="shared" ref="AB9:AB11" si="9">MAX(0,Z9-AA9)</f>
        <v>0</v>
      </c>
      <c r="AC9" s="21">
        <f t="shared" ref="AC9:AC11" si="10">IFERROR(ROUND(AB9/C9,0),0)</f>
        <v>0</v>
      </c>
      <c r="AD9" s="11"/>
      <c r="AE9" s="11"/>
      <c r="AF9" s="146">
        <f>IFERROR(VLOOKUP(A9,'25-26 MFG'!A:D,3,FALSE),0)</f>
        <v>0</v>
      </c>
      <c r="AG9" s="75">
        <f>IFERROR(VLOOKUP(A9,'25-26 MFG'!A:D,4,FALSE),0)</f>
        <v>0</v>
      </c>
      <c r="AH9" s="224">
        <f t="shared" ref="AH9:AH11" si="11">AC9-AG9</f>
        <v>0</v>
      </c>
    </row>
    <row r="10" spans="1:34">
      <c r="A10" s="7">
        <v>8502013</v>
      </c>
      <c r="B10" s="142" t="s">
        <v>2</v>
      </c>
      <c r="C10" s="16">
        <f>IFERROR(VLOOKUP(RIGHT($A10,4)*1,'Autumn term 2025'!$AA$6:$AM$57,12,FALSE),0)</f>
        <v>23</v>
      </c>
      <c r="D10" s="16">
        <f>SUMIF(APN!$A$3:$A$97,(RIGHT($A10,4)*1),APN!$K$3:$K$97)</f>
        <v>28</v>
      </c>
      <c r="E10" s="209">
        <f>D10*Values!$J$17</f>
        <v>168000</v>
      </c>
      <c r="F10" s="410">
        <f t="shared" si="4"/>
        <v>168000</v>
      </c>
      <c r="G10" s="402" cm="1">
        <f t="array" ref="G10">IFERROR(INDEX('Autumn term 2025'!$AB$6:$AM$53,_xlfn.XMATCH(RIGHT(MFG!$A10,4)*1,'Autumn term 2025'!$AA$6:$AA$53),_xlfn.XMATCH(MFG!G$7,'Autumn term 2025'!$AB$5:$AM$5)),0)</f>
        <v>0</v>
      </c>
      <c r="H10" s="403" cm="1">
        <f t="array" ref="H10">IFERROR(INDEX('Autumn term 2025'!$AB$6:$AM$53,_xlfn.XMATCH(RIGHT(MFG!$A10,4)*1,'Autumn term 2025'!$AA$6:$AA$53),_xlfn.XMATCH(MFG!H$7,'Autumn term 2025'!$AB$5:$AM$5)),0)</f>
        <v>0</v>
      </c>
      <c r="I10" s="403" cm="1">
        <f t="array" ref="I10">IFERROR(INDEX('Autumn term 2025'!$AB$6:$AM$53,_xlfn.XMATCH(RIGHT(MFG!$A10,4)*1,'Autumn term 2025'!$AA$6:$AA$53),_xlfn.XMATCH(MFG!I$7,'Autumn term 2025'!$AB$5:$AM$5)),0)</f>
        <v>3</v>
      </c>
      <c r="J10" s="403" cm="1">
        <f t="array" ref="J10">IFERROR(INDEX('Autumn term 2025'!$AB$6:$AM$53,_xlfn.XMATCH(RIGHT(MFG!$A10,4)*1,'Autumn term 2025'!$AA$6:$AA$53),_xlfn.XMATCH(MFG!J$7,'Autumn term 2025'!$AB$5:$AM$5)),0)</f>
        <v>0</v>
      </c>
      <c r="K10" s="403" cm="1">
        <f t="array" ref="K10">IFERROR(INDEX('Autumn term 2025'!$AB$6:$AM$53,_xlfn.XMATCH(RIGHT(MFG!$A10,4)*1,'Autumn term 2025'!$AA$6:$AA$53),_xlfn.XMATCH(MFG!K$7,'Autumn term 2025'!$AB$5:$AM$5)),0)</f>
        <v>0</v>
      </c>
      <c r="L10" s="403" cm="1">
        <f t="array" ref="L10">IFERROR(INDEX('Autumn term 2025'!$AB$6:$AM$53,_xlfn.XMATCH(RIGHT(MFG!$A10,4)*1,'Autumn term 2025'!$AA$6:$AA$53),_xlfn.XMATCH(MFG!L$7,'Autumn term 2025'!$AB$5:$AM$5)),0)</f>
        <v>0</v>
      </c>
      <c r="M10" s="403" cm="1">
        <f t="array" ref="M10">IFERROR(INDEX('Autumn term 2025'!$AB$6:$AM$53,_xlfn.XMATCH(RIGHT(MFG!$A10,4)*1,'Autumn term 2025'!$AA$6:$AA$53),_xlfn.XMATCH(MFG!M$7,'Autumn term 2025'!$AB$5:$AM$5)),0)</f>
        <v>0</v>
      </c>
      <c r="N10" s="403" cm="1">
        <f t="array" ref="N10">IFERROR(INDEX('Autumn term 2025'!$AB$6:$AM$53,_xlfn.XMATCH(RIGHT(MFG!$A10,4)*1,'Autumn term 2025'!$AA$6:$AA$53),_xlfn.XMATCH(MFG!N$7,'Autumn term 2025'!$AB$5:$AM$5)),0)</f>
        <v>20</v>
      </c>
      <c r="O10" s="403" cm="1">
        <f t="array" ref="O10">IFERROR(INDEX('Autumn term 2025'!$AB$6:$AM$53,_xlfn.XMATCH(RIGHT(MFG!$A10,4)*1,'Autumn term 2025'!$AA$6:$AA$53),_xlfn.XMATCH(MFG!O$7,'Autumn term 2025'!$AB$5:$AM$5)),0)</f>
        <v>0</v>
      </c>
      <c r="P10" s="403" cm="1">
        <f t="array" ref="P10">IFERROR(INDEX('Autumn term 2025'!$AB$6:$AM$53,_xlfn.XMATCH(RIGHT(MFG!$A10,4)*1,'Autumn term 2025'!$AA$6:$AA$53),_xlfn.XMATCH(MFG!P$7,'Autumn term 2025'!$AB$5:$AM$5)),0)</f>
        <v>0</v>
      </c>
      <c r="Q10" s="404" cm="1">
        <f t="array" ref="Q10">IFERROR(INDEX('Autumn term 2025'!$AB$6:$AM$53,_xlfn.XMATCH(RIGHT(MFG!$A10,4)*1,'Autumn term 2025'!$AA$6:$AA$53),_xlfn.XMATCH(MFG!Q$7,'Autumn term 2025'!$AB$5:$AM$5)),0)</f>
        <v>0</v>
      </c>
      <c r="R10" s="412">
        <f>IF(VLOOKUP($A10,Data!$A$4:$I$81,9,FALSE)="PRI",G10*$G$2+H10*$H$2+I10*$I$2+J10*$J$2+K10*$K$2+L10*$L$2+M10*$M$2+N10*$N$2+O10*$O$2+P10*$P$2+Q10*$Q$2,G10*$G$3+H10*$H$3+I10*$I$3+J10*$J$3+K10*$K$3+L10*$L$3+M10*$M$3+N10*$N$3+O10*$O$3+P10*$P$3+Q10*$Q$3)</f>
        <v>104617</v>
      </c>
      <c r="S10" s="145">
        <f>IF(VLOOKUP($A10,Data!$A$4:$I$81,9,FALSE)="PRI",G10*$G$4+H10*$H$4+I10*$I$4+J10*$J$4+K10*$K$4+L10*$L$4+M10*$M$4+N10*$N$4+O10*$O$4+P10*$P$4+Q10*$Q$4,G10*$G$5+H10*$H$5+I10*$I$5+J10*$J$5+K10*$K$5+L10*$L$5+M10*$M$5+N10*$N$5+O10*$O$5+P10*$P$5+Q10*$Q$5)</f>
        <v>109722</v>
      </c>
      <c r="T10" s="229">
        <f>IFERROR(VLOOKUP(RIGHT($A10,4)*1,'Autumn term 2025'!$U$6:$X$16,3,FALSE),0)</f>
        <v>0</v>
      </c>
      <c r="U10" s="230">
        <f>IFERROR(VLOOKUP(RIGHT($A10,4)*1,'Autumn term 2025'!$U$6:$X$16,2,FALSE),0)</f>
        <v>0</v>
      </c>
      <c r="V10" s="231">
        <f>IF(VLOOKUP($A10,Data!$A$3:$I$81,9,FALSE)="Pri",T10*$T$2+U10*$U$2,T10*$T$3+U10*$U$3)</f>
        <v>0</v>
      </c>
      <c r="W10" s="232">
        <f>IF(VLOOKUP($A10,Data!$A$3:$I$81,9,FALSE)="Pri",T10*$T$4+U10*$U$4,T10*$T$5+U10*$U$5)</f>
        <v>0</v>
      </c>
      <c r="X10" s="235">
        <f t="shared" si="5"/>
        <v>0</v>
      </c>
      <c r="Y10" s="399">
        <f t="shared" si="6"/>
        <v>272617</v>
      </c>
      <c r="Z10" s="234">
        <f t="shared" si="7"/>
        <v>272617</v>
      </c>
      <c r="AA10" s="46">
        <f t="shared" si="8"/>
        <v>277722</v>
      </c>
      <c r="AB10" s="400">
        <f t="shared" si="9"/>
        <v>0</v>
      </c>
      <c r="AC10" s="21">
        <f t="shared" si="10"/>
        <v>0</v>
      </c>
      <c r="AD10" s="11"/>
      <c r="AE10" s="11"/>
      <c r="AF10" s="146">
        <f>IFERROR(VLOOKUP(A10,'25-26 MFG'!A:D,3,FALSE),0)</f>
        <v>0</v>
      </c>
      <c r="AG10" s="75">
        <f>IFERROR(VLOOKUP(A10,'25-26 MFG'!A:D,4,FALSE),0)</f>
        <v>0</v>
      </c>
      <c r="AH10" s="224">
        <f t="shared" si="11"/>
        <v>0</v>
      </c>
    </row>
    <row r="11" spans="1:34">
      <c r="A11" s="7">
        <v>8502018</v>
      </c>
      <c r="B11" s="142" t="s">
        <v>3</v>
      </c>
      <c r="C11" s="16">
        <f>IFERROR(VLOOKUP(RIGHT($A11,4)*1,'Autumn term 2025'!$AA$6:$AM$57,12,FALSE),0)</f>
        <v>14</v>
      </c>
      <c r="D11" s="16">
        <f>SUMIF(APN!$A$3:$A$97,(RIGHT($A11,4)*1),APN!$K$3:$K$97)</f>
        <v>14</v>
      </c>
      <c r="E11" s="209">
        <f>D11*Values!$J$17</f>
        <v>84000</v>
      </c>
      <c r="F11" s="410">
        <f t="shared" si="4"/>
        <v>84000</v>
      </c>
      <c r="G11" s="402" cm="1">
        <f t="array" ref="G11">IFERROR(INDEX('Autumn term 2025'!$AB$6:$AM$55,_xlfn.XMATCH(RIGHT(MFG!$A11,4)*1,'Autumn term 2025'!$AA$6:$AA$55),_xlfn.XMATCH(MFG!G$7,'Autumn term 2025'!$AB$5:$AM$5)),0)</f>
        <v>0</v>
      </c>
      <c r="H11" s="403" cm="1">
        <f t="array" ref="H11">IFERROR(INDEX('Autumn term 2025'!$AB$6:$AM$55,_xlfn.XMATCH(RIGHT(MFG!$A11,4)*1,'Autumn term 2025'!$AA$6:$AA$55),_xlfn.XMATCH(MFG!H$7,'Autumn term 2025'!$AB$5:$AM$5)),0)</f>
        <v>0</v>
      </c>
      <c r="I11" s="403" cm="1">
        <f t="array" ref="I11">IFERROR(INDEX('Autumn term 2025'!$AB$6:$AM$55,_xlfn.XMATCH(RIGHT(MFG!$A11,4)*1,'Autumn term 2025'!$AA$6:$AA$55),_xlfn.XMATCH(MFG!I$7,'Autumn term 2025'!$AB$5:$AM$5)),0)</f>
        <v>0</v>
      </c>
      <c r="J11" s="403" cm="1">
        <f t="array" ref="J11">IFERROR(INDEX('Autumn term 2025'!$AB$6:$AM$55,_xlfn.XMATCH(RIGHT(MFG!$A11,4)*1,'Autumn term 2025'!$AA$6:$AA$55),_xlfn.XMATCH(MFG!J$7,'Autumn term 2025'!$AB$5:$AM$5)),0)</f>
        <v>0</v>
      </c>
      <c r="K11" s="403" cm="1">
        <f t="array" ref="K11">IFERROR(INDEX('Autumn term 2025'!$AB$6:$AM$55,_xlfn.XMATCH(RIGHT(MFG!$A11,4)*1,'Autumn term 2025'!$AA$6:$AA$55),_xlfn.XMATCH(MFG!K$7,'Autumn term 2025'!$AB$5:$AM$5)),0)</f>
        <v>0</v>
      </c>
      <c r="L11" s="403" cm="1">
        <f t="array" ref="L11">IFERROR(INDEX('Autumn term 2025'!$AB$6:$AM$55,_xlfn.XMATCH(RIGHT(MFG!$A11,4)*1,'Autumn term 2025'!$AA$6:$AA$55),_xlfn.XMATCH(MFG!L$7,'Autumn term 2025'!$AB$5:$AM$5)),0)</f>
        <v>0</v>
      </c>
      <c r="M11" s="403" cm="1">
        <f t="array" ref="M11">IFERROR(INDEX('Autumn term 2025'!$AB$6:$AM$55,_xlfn.XMATCH(RIGHT(MFG!$A11,4)*1,'Autumn term 2025'!$AA$6:$AA$55),_xlfn.XMATCH(MFG!M$7,'Autumn term 2025'!$AB$5:$AM$5)),0)</f>
        <v>0</v>
      </c>
      <c r="N11" s="403" cm="1">
        <f t="array" ref="N11">IFERROR(INDEX('Autumn term 2025'!$AB$6:$AM$55,_xlfn.XMATCH(RIGHT(MFG!$A11,4)*1,'Autumn term 2025'!$AA$6:$AA$55),_xlfn.XMATCH(MFG!N$7,'Autumn term 2025'!$AB$5:$AM$5)),0)</f>
        <v>14</v>
      </c>
      <c r="O11" s="403" cm="1">
        <f t="array" ref="O11">IFERROR(INDEX('Autumn term 2025'!$AB$6:$AM$55,_xlfn.XMATCH(RIGHT(MFG!$A11,4)*1,'Autumn term 2025'!$AA$6:$AA$55),_xlfn.XMATCH(MFG!O$7,'Autumn term 2025'!$AB$5:$AM$5)),0)</f>
        <v>0</v>
      </c>
      <c r="P11" s="403" cm="1">
        <f t="array" ref="P11">IFERROR(INDEX('Autumn term 2025'!$AB$6:$AM$55,_xlfn.XMATCH(RIGHT(MFG!$A11,4)*1,'Autumn term 2025'!$AA$6:$AA$55),_xlfn.XMATCH(MFG!P$7,'Autumn term 2025'!$AB$5:$AM$5)),0)</f>
        <v>0</v>
      </c>
      <c r="Q11" s="404" cm="1">
        <f t="array" ref="Q11">IFERROR(INDEX('Autumn term 2025'!$AB$6:$AM$55,_xlfn.XMATCH(RIGHT(MFG!$A11,4)*1,'Autumn term 2025'!$AA$6:$AA$55),_xlfn.XMATCH(MFG!Q$7,'Autumn term 2025'!$AB$5:$AM$5)),0)</f>
        <v>0</v>
      </c>
      <c r="R11" s="412">
        <f>IF(VLOOKUP($A11,Data!$A$4:$I$81,9,FALSE)="PRI",G11*$G$2+H11*$H$2+I11*$I$2+J11*$J$2+K11*$K$2+L11*$L$2+M11*$M$2+N11*$N$2+O11*$O$2+P11*$P$2+Q11*$Q$2,G11*$G$3+H11*$H$3+I11*$I$3+J11*$J$3+K11*$K$3+L11*$L$3+M11*$M$3+N11*$N$3+O11*$O$3+P11*$P$3+Q11*$Q$3)</f>
        <v>70336</v>
      </c>
      <c r="S11" s="145">
        <f>IF(VLOOKUP($A11,Data!$A$4:$I$81,9,FALSE)="PRI",G11*$G$4+H11*$H$4+I11*$I$4+J11*$J$4+K11*$K$4+L11*$L$4+M11*$M$4+N11*$N$4+O11*$O$4+P11*$P$4+Q11*$Q$4,G11*$G$5+H11*$H$5+I11*$I$5+J11*$J$5+K11*$K$5+L11*$L$5+M11*$M$5+N11*$N$5+O11*$O$5+P11*$P$5+Q11*$Q$5)</f>
        <v>73584</v>
      </c>
      <c r="T11" s="229">
        <f>IFERROR(VLOOKUP(RIGHT($A11,4)*1,'Autumn term 2025'!$U$6:$X$16,3,FALSE),0)</f>
        <v>0</v>
      </c>
      <c r="U11" s="230">
        <f>IFERROR(VLOOKUP(RIGHT($A11,4)*1,'Autumn term 2025'!$U$6:$X$16,2,FALSE),0)</f>
        <v>0</v>
      </c>
      <c r="V11" s="231">
        <f>IF(VLOOKUP($A11,Data!$A$3:$I$81,9,FALSE)="Pri",T11*$T$2+U11*$U$2,T11*$T$3+U11*$U$3)</f>
        <v>0</v>
      </c>
      <c r="W11" s="232">
        <f>IF(VLOOKUP($A11,Data!$A$3:$I$81,9,FALSE)="Pri",T11*$T$4+U11*$U$4,T11*$T$5+U11*$U$5)</f>
        <v>0</v>
      </c>
      <c r="X11" s="235">
        <f t="shared" si="5"/>
        <v>0</v>
      </c>
      <c r="Y11" s="399">
        <f t="shared" si="6"/>
        <v>154336</v>
      </c>
      <c r="Z11" s="234">
        <f t="shared" si="7"/>
        <v>154336</v>
      </c>
      <c r="AA11" s="46">
        <f t="shared" si="8"/>
        <v>157584</v>
      </c>
      <c r="AB11" s="400">
        <f t="shared" si="9"/>
        <v>0</v>
      </c>
      <c r="AC11" s="21">
        <f t="shared" si="10"/>
        <v>0</v>
      </c>
      <c r="AD11" s="11"/>
      <c r="AE11" s="11"/>
      <c r="AF11" s="146">
        <f>IFERROR(VLOOKUP(A11,'25-26 MFG'!A:D,3,FALSE),0)</f>
        <v>0</v>
      </c>
      <c r="AG11" s="75">
        <f>IFERROR(VLOOKUP(A11,'25-26 MFG'!A:D,4,FALSE),0)</f>
        <v>0</v>
      </c>
      <c r="AH11" s="224">
        <f t="shared" si="11"/>
        <v>0</v>
      </c>
    </row>
    <row r="12" spans="1:34">
      <c r="A12" s="7">
        <v>8502045</v>
      </c>
      <c r="B12" s="142" t="s">
        <v>144</v>
      </c>
      <c r="C12" s="16">
        <f>IFERROR(VLOOKUP(RIGHT($A12,4)*1,'Autumn term 2025'!$AA$6:$AM$57,12,FALSE),0)</f>
        <v>4</v>
      </c>
      <c r="D12" s="16">
        <f>SUMIF(APN!$A$3:$A$97,(RIGHT($A12,4)*1),APN!$K$3:$K$97)</f>
        <v>3.5</v>
      </c>
      <c r="E12" s="209">
        <f>D12*Values!$J$17</f>
        <v>21000</v>
      </c>
      <c r="F12" s="410">
        <f t="shared" ref="F12" si="12">D12*place</f>
        <v>21000</v>
      </c>
      <c r="G12" s="402" cm="1">
        <f t="array" ref="G12">IFERROR(INDEX('Autumn term 2025'!$AB$6:$AM$55,_xlfn.XMATCH(RIGHT(MFG!$A12,4)*1,'Autumn term 2025'!$AA$6:$AA$55),_xlfn.XMATCH(MFG!G$7,'Autumn term 2025'!$AB$5:$AM$5)),0)</f>
        <v>0</v>
      </c>
      <c r="H12" s="403" cm="1">
        <f t="array" ref="H12">IFERROR(INDEX('Autumn term 2025'!$AB$6:$AM$55,_xlfn.XMATCH(RIGHT(MFG!$A12,4)*1,'Autumn term 2025'!$AA$6:$AA$55),_xlfn.XMATCH(MFG!H$7,'Autumn term 2025'!$AB$5:$AM$5)),0)</f>
        <v>0</v>
      </c>
      <c r="I12" s="403" cm="1">
        <f t="array" ref="I12">IFERROR(INDEX('Autumn term 2025'!$AB$6:$AM$55,_xlfn.XMATCH(RIGHT(MFG!$A12,4)*1,'Autumn term 2025'!$AA$6:$AA$55),_xlfn.XMATCH(MFG!I$7,'Autumn term 2025'!$AB$5:$AM$5)),0)</f>
        <v>0</v>
      </c>
      <c r="J12" s="403" cm="1">
        <f t="array" ref="J12">IFERROR(INDEX('Autumn term 2025'!$AB$6:$AM$55,_xlfn.XMATCH(RIGHT(MFG!$A12,4)*1,'Autumn term 2025'!$AA$6:$AA$55),_xlfn.XMATCH(MFG!J$7,'Autumn term 2025'!$AB$5:$AM$5)),0)</f>
        <v>0</v>
      </c>
      <c r="K12" s="403" cm="1">
        <f t="array" ref="K12">IFERROR(INDEX('Autumn term 2025'!$AB$6:$AM$55,_xlfn.XMATCH(RIGHT(MFG!$A12,4)*1,'Autumn term 2025'!$AA$6:$AA$55),_xlfn.XMATCH(MFG!K$7,'Autumn term 2025'!$AB$5:$AM$5)),0)</f>
        <v>0</v>
      </c>
      <c r="L12" s="403" cm="1">
        <f t="array" ref="L12">IFERROR(INDEX('Autumn term 2025'!$AB$6:$AM$55,_xlfn.XMATCH(RIGHT(MFG!$A12,4)*1,'Autumn term 2025'!$AA$6:$AA$55),_xlfn.XMATCH(MFG!L$7,'Autumn term 2025'!$AB$5:$AM$5)),0)</f>
        <v>0</v>
      </c>
      <c r="M12" s="403" cm="1">
        <f t="array" ref="M12">IFERROR(INDEX('Autumn term 2025'!$AB$6:$AM$55,_xlfn.XMATCH(RIGHT(MFG!$A12,4)*1,'Autumn term 2025'!$AA$6:$AA$55),_xlfn.XMATCH(MFG!M$7,'Autumn term 2025'!$AB$5:$AM$5)),0)</f>
        <v>0</v>
      </c>
      <c r="N12" s="403" cm="1">
        <f t="array" ref="N12">IFERROR(INDEX('Autumn term 2025'!$AB$6:$AM$55,_xlfn.XMATCH(RIGHT(MFG!$A12,4)*1,'Autumn term 2025'!$AA$6:$AA$55),_xlfn.XMATCH(MFG!N$7,'Autumn term 2025'!$AB$5:$AM$5)),0)</f>
        <v>0</v>
      </c>
      <c r="O12" s="403" cm="1">
        <f t="array" ref="O12">IFERROR(INDEX('Autumn term 2025'!$AB$6:$AM$55,_xlfn.XMATCH(RIGHT(MFG!$A12,4)*1,'Autumn term 2025'!$AA$6:$AA$55),_xlfn.XMATCH(MFG!O$7,'Autumn term 2025'!$AB$5:$AM$5)),0)</f>
        <v>0</v>
      </c>
      <c r="P12" s="403" cm="1">
        <f t="array" ref="P12">IFERROR(INDEX('Autumn term 2025'!$AB$6:$AM$55,_xlfn.XMATCH(RIGHT(MFG!$A12,4)*1,'Autumn term 2025'!$AA$6:$AA$55),_xlfn.XMATCH(MFG!P$7,'Autumn term 2025'!$AB$5:$AM$5)),0)</f>
        <v>0</v>
      </c>
      <c r="Q12" s="404" cm="1">
        <f t="array" ref="Q12">IFERROR(INDEX('Autumn term 2025'!$AB$6:$AM$55,_xlfn.XMATCH(RIGHT(MFG!$A12,4)*1,'Autumn term 2025'!$AA$6:$AA$55),_xlfn.XMATCH(MFG!Q$7,'Autumn term 2025'!$AB$5:$AM$5)),0)</f>
        <v>0</v>
      </c>
      <c r="R12" s="412">
        <f>IF(VLOOKUP($A12,Data!$A$4:$I$81,9,FALSE)="PRI",G12*$G$2+H12*$H$2+I12*$I$2+J12*$J$2+K12*$K$2+L12*$L$2+M12*$M$2+N12*$N$2+O12*$O$2+P12*$P$2+Q12*$Q$2,G12*$G$3+H12*$H$3+I12*$I$3+J12*$J$3+K12*$K$3+L12*$L$3+M12*$M$3+N12*$N$3+O12*$O$3+P12*$P$3+Q12*$Q$3)</f>
        <v>0</v>
      </c>
      <c r="S12" s="145">
        <f>IF(VLOOKUP($A12,Data!$A$4:$I$81,9,FALSE)="PRI",G12*$G$4+H12*$H$4+I12*$I$4+J12*$J$4+K12*$K$4+L12*$L$4+M12*$M$4+N12*$N$4+O12*$O$4+P12*$P$4+Q12*$Q$4,G12*$G$5+H12*$H$5+I12*$I$5+J12*$J$5+K12*$K$5+L12*$L$5+M12*$M$5+N12*$N$5+O12*$O$5+P12*$P$5+Q12*$Q$5)</f>
        <v>0</v>
      </c>
      <c r="T12" s="229">
        <f>IFERROR(VLOOKUP(RIGHT($A12,4)*1,'Autumn term 2025'!$U$6:$X$16,3,FALSE),0)</f>
        <v>0</v>
      </c>
      <c r="U12" s="230">
        <f>IFERROR(VLOOKUP(RIGHT($A12,4)*1,'Autumn term 2025'!$U$6:$X$16,2,FALSE),0)</f>
        <v>0</v>
      </c>
      <c r="V12" s="231">
        <f>IF(VLOOKUP($A12,Data!$A$3:$I$81,9,FALSE)="Pri",T12*$T$2+U12*$U$2,T12*$T$3+U12*$U$3)</f>
        <v>0</v>
      </c>
      <c r="W12" s="232">
        <f>IF(VLOOKUP($A12,Data!$A$3:$I$81,9,FALSE)="Pri",T12*$T$4+U12*$U$4,T12*$T$5+U12*$U$5)</f>
        <v>0</v>
      </c>
      <c r="X12" s="235">
        <f t="shared" ref="X12" si="13">AG12</f>
        <v>0</v>
      </c>
      <c r="Y12" s="399">
        <f t="shared" ref="Y12" si="14">E12+R12+V12+(X12*C12)</f>
        <v>21000</v>
      </c>
      <c r="Z12" s="234">
        <f t="shared" ref="Z12" si="15">(Y12*1)</f>
        <v>21000</v>
      </c>
      <c r="AA12" s="46">
        <f t="shared" ref="AA12" si="16">F12+S12+W12</f>
        <v>21000</v>
      </c>
      <c r="AB12" s="400">
        <f t="shared" ref="AB12" si="17">MAX(0,Z12-AA12)</f>
        <v>0</v>
      </c>
      <c r="AC12" s="21">
        <f t="shared" ref="AC12" si="18">IFERROR(ROUND(AB12/C12,0),0)</f>
        <v>0</v>
      </c>
      <c r="AD12" s="11"/>
      <c r="AE12" s="11"/>
      <c r="AF12" s="146">
        <f>IFERROR(VLOOKUP(A12,'25-26 MFG'!A:D,3,FALSE),0)</f>
        <v>0</v>
      </c>
      <c r="AG12" s="75">
        <f>IFERROR(VLOOKUP(A12,'25-26 MFG'!A:D,4,FALSE),0)</f>
        <v>0</v>
      </c>
      <c r="AH12" s="224">
        <f t="shared" ref="AH12" si="19">AC12-AG12</f>
        <v>0</v>
      </c>
    </row>
    <row r="13" spans="1:34">
      <c r="A13" s="7">
        <v>8502049</v>
      </c>
      <c r="B13" s="142" t="s">
        <v>145</v>
      </c>
      <c r="C13" s="16">
        <f>IFERROR(VLOOKUP(RIGHT($A13,4)*1,'Autumn term 2025'!$AA$6:$AM$57,12,FALSE),0)</f>
        <v>0</v>
      </c>
      <c r="D13" s="16">
        <f>SUMIF(APN!$A$3:$A$97,(RIGHT($A13,4)*1),APN!$K$3:$K$97)</f>
        <v>0</v>
      </c>
      <c r="E13" s="209">
        <f>D13*Values!$J$17</f>
        <v>0</v>
      </c>
      <c r="F13" s="410">
        <f t="shared" ref="F13:F76" si="20">D13*place</f>
        <v>0</v>
      </c>
      <c r="G13" s="402" cm="1">
        <f t="array" ref="G13">IFERROR(INDEX('Autumn term 2025'!$AB$6:$AM$55,_xlfn.XMATCH(RIGHT(MFG!$A13,4)*1,'Autumn term 2025'!$AA$6:$AA$55),_xlfn.XMATCH(MFG!G$7,'Autumn term 2025'!$AB$5:$AM$5)),0)</f>
        <v>0</v>
      </c>
      <c r="H13" s="403" cm="1">
        <f t="array" ref="H13">IFERROR(INDEX('Autumn term 2025'!$AB$6:$AM$55,_xlfn.XMATCH(RIGHT(MFG!$A13,4)*1,'Autumn term 2025'!$AA$6:$AA$55),_xlfn.XMATCH(MFG!H$7,'Autumn term 2025'!$AB$5:$AM$5)),0)</f>
        <v>0</v>
      </c>
      <c r="I13" s="403" cm="1">
        <f t="array" ref="I13">IFERROR(INDEX('Autumn term 2025'!$AB$6:$AM$55,_xlfn.XMATCH(RIGHT(MFG!$A13,4)*1,'Autumn term 2025'!$AA$6:$AA$55),_xlfn.XMATCH(MFG!I$7,'Autumn term 2025'!$AB$5:$AM$5)),0)</f>
        <v>0</v>
      </c>
      <c r="J13" s="403" cm="1">
        <f t="array" ref="J13">IFERROR(INDEX('Autumn term 2025'!$AB$6:$AM$55,_xlfn.XMATCH(RIGHT(MFG!$A13,4)*1,'Autumn term 2025'!$AA$6:$AA$55),_xlfn.XMATCH(MFG!J$7,'Autumn term 2025'!$AB$5:$AM$5)),0)</f>
        <v>0</v>
      </c>
      <c r="K13" s="403" cm="1">
        <f t="array" ref="K13">IFERROR(INDEX('Autumn term 2025'!$AB$6:$AM$55,_xlfn.XMATCH(RIGHT(MFG!$A13,4)*1,'Autumn term 2025'!$AA$6:$AA$55),_xlfn.XMATCH(MFG!K$7,'Autumn term 2025'!$AB$5:$AM$5)),0)</f>
        <v>0</v>
      </c>
      <c r="L13" s="403" cm="1">
        <f t="array" ref="L13">IFERROR(INDEX('Autumn term 2025'!$AB$6:$AM$55,_xlfn.XMATCH(RIGHT(MFG!$A13,4)*1,'Autumn term 2025'!$AA$6:$AA$55),_xlfn.XMATCH(MFG!L$7,'Autumn term 2025'!$AB$5:$AM$5)),0)</f>
        <v>0</v>
      </c>
      <c r="M13" s="403" cm="1">
        <f t="array" ref="M13">IFERROR(INDEX('Autumn term 2025'!$AB$6:$AM$55,_xlfn.XMATCH(RIGHT(MFG!$A13,4)*1,'Autumn term 2025'!$AA$6:$AA$55),_xlfn.XMATCH(MFG!M$7,'Autumn term 2025'!$AB$5:$AM$5)),0)</f>
        <v>0</v>
      </c>
      <c r="N13" s="403" cm="1">
        <f t="array" ref="N13">IFERROR(INDEX('Autumn term 2025'!$AB$6:$AM$55,_xlfn.XMATCH(RIGHT(MFG!$A13,4)*1,'Autumn term 2025'!$AA$6:$AA$55),_xlfn.XMATCH(MFG!N$7,'Autumn term 2025'!$AB$5:$AM$5)),0)</f>
        <v>0</v>
      </c>
      <c r="O13" s="403" cm="1">
        <f t="array" ref="O13">IFERROR(INDEX('Autumn term 2025'!$AB$6:$AM$55,_xlfn.XMATCH(RIGHT(MFG!$A13,4)*1,'Autumn term 2025'!$AA$6:$AA$55),_xlfn.XMATCH(MFG!O$7,'Autumn term 2025'!$AB$5:$AM$5)),0)</f>
        <v>0</v>
      </c>
      <c r="P13" s="403" cm="1">
        <f t="array" ref="P13">IFERROR(INDEX('Autumn term 2025'!$AB$6:$AM$55,_xlfn.XMATCH(RIGHT(MFG!$A13,4)*1,'Autumn term 2025'!$AA$6:$AA$55),_xlfn.XMATCH(MFG!P$7,'Autumn term 2025'!$AB$5:$AM$5)),0)</f>
        <v>0</v>
      </c>
      <c r="Q13" s="404" cm="1">
        <f t="array" ref="Q13">IFERROR(INDEX('Autumn term 2025'!$AB$6:$AM$55,_xlfn.XMATCH(RIGHT(MFG!$A13,4)*1,'Autumn term 2025'!$AA$6:$AA$55),_xlfn.XMATCH(MFG!Q$7,'Autumn term 2025'!$AB$5:$AM$5)),0)</f>
        <v>0</v>
      </c>
      <c r="R13" s="412">
        <f>IF(VLOOKUP($A13,Data!$A$4:$I$81,9,FALSE)="PRI",G13*$G$2+H13*$H$2+I13*$I$2+J13*$J$2+K13*$K$2+L13*$L$2+M13*$M$2+N13*$N$2+O13*$O$2+P13*$P$2+Q13*$Q$2,G13*$G$3+H13*$H$3+I13*$I$3+J13*$J$3+K13*$K$3+L13*$L$3+M13*$M$3+N13*$N$3+O13*$O$3+P13*$P$3+Q13*$Q$3)</f>
        <v>0</v>
      </c>
      <c r="S13" s="145">
        <f>IF(VLOOKUP($A13,Data!$A$4:$I$81,9,FALSE)="PRI",G13*$G$4+H13*$H$4+I13*$I$4+J13*$J$4+K13*$K$4+L13*$L$4+M13*$M$4+N13*$N$4+O13*$O$4+P13*$P$4+Q13*$Q$4,G13*$G$5+H13*$H$5+I13*$I$5+J13*$J$5+K13*$K$5+L13*$L$5+M13*$M$5+N13*$N$5+O13*$O$5+P13*$P$5+Q13*$Q$5)</f>
        <v>0</v>
      </c>
      <c r="T13" s="229">
        <f>IFERROR(VLOOKUP(RIGHT($A13,4)*1,'Autumn term 2025'!$U$6:$X$16,3,FALSE),0)</f>
        <v>0</v>
      </c>
      <c r="U13" s="230">
        <f>IFERROR(VLOOKUP(RIGHT($A13,4)*1,'Autumn term 2025'!$U$6:$X$16,2,FALSE),0)</f>
        <v>0</v>
      </c>
      <c r="V13" s="231">
        <f>IF(VLOOKUP($A13,Data!$A$3:$I$81,9,FALSE)="Pri",T13*$T$2+U13*$U$2,T13*$T$3+U13*$U$3)</f>
        <v>0</v>
      </c>
      <c r="W13" s="232">
        <f>IF(VLOOKUP($A13,Data!$A$3:$I$81,9,FALSE)="Pri",T13*$T$4+U13*$U$4,T13*$T$5+U13*$U$5)</f>
        <v>0</v>
      </c>
      <c r="X13" s="235">
        <f t="shared" ref="X13:X76" si="21">AG13</f>
        <v>0</v>
      </c>
      <c r="Y13" s="399">
        <f t="shared" ref="Y13:Y76" si="22">E13+R13+V13+(X13*C13)</f>
        <v>0</v>
      </c>
      <c r="Z13" s="234">
        <f t="shared" ref="Z13:Z76" si="23">(Y13*1)</f>
        <v>0</v>
      </c>
      <c r="AA13" s="46">
        <f t="shared" ref="AA13:AA76" si="24">F13+S13+W13</f>
        <v>0</v>
      </c>
      <c r="AB13" s="400">
        <f t="shared" ref="AB13:AB76" si="25">MAX(0,Z13-AA13)</f>
        <v>0</v>
      </c>
      <c r="AC13" s="21">
        <f t="shared" ref="AC13:AC76" si="26">IFERROR(ROUND(AB13/C13,0),0)</f>
        <v>0</v>
      </c>
      <c r="AD13" s="11"/>
      <c r="AE13" s="11"/>
      <c r="AF13" s="146">
        <f>IFERROR(VLOOKUP(A13,'25-26 MFG'!A:D,3,FALSE),0)</f>
        <v>0</v>
      </c>
      <c r="AG13" s="75">
        <f>IFERROR(VLOOKUP(A13,'25-26 MFG'!A:D,4,FALSE),0)</f>
        <v>0</v>
      </c>
      <c r="AH13" s="224">
        <f t="shared" ref="AH13:AH76" si="27">AC13-AG13</f>
        <v>0</v>
      </c>
    </row>
    <row r="14" spans="1:34">
      <c r="A14" s="7">
        <v>8502057</v>
      </c>
      <c r="B14" s="142" t="s">
        <v>5</v>
      </c>
      <c r="C14" s="16">
        <f>IFERROR(VLOOKUP(RIGHT($A14,4)*1,'Autumn term 2025'!$AA$6:$AM$57,12,FALSE),0)</f>
        <v>27</v>
      </c>
      <c r="D14" s="16">
        <f>SUMIF(APN!$A$3:$A$97,(RIGHT($A14,4)*1),APN!$K$3:$K$97)</f>
        <v>21.083333333333336</v>
      </c>
      <c r="E14" s="209">
        <f>D14*Values!$J$17</f>
        <v>126500.00000000001</v>
      </c>
      <c r="F14" s="410">
        <f t="shared" si="20"/>
        <v>126500.00000000001</v>
      </c>
      <c r="G14" s="402" cm="1">
        <f t="array" ref="G14">IFERROR(INDEX('Autumn term 2025'!$AB$6:$AM$55,_xlfn.XMATCH(RIGHT(MFG!$A14,4)*1,'Autumn term 2025'!$AA$6:$AA$55),_xlfn.XMATCH(MFG!G$7,'Autumn term 2025'!$AB$5:$AM$5)),0)</f>
        <v>18</v>
      </c>
      <c r="H14" s="403" cm="1">
        <f t="array" ref="H14">IFERROR(INDEX('Autumn term 2025'!$AB$6:$AM$55,_xlfn.XMATCH(RIGHT(MFG!$A14,4)*1,'Autumn term 2025'!$AA$6:$AA$55),_xlfn.XMATCH(MFG!H$7,'Autumn term 2025'!$AB$5:$AM$5)),0)</f>
        <v>0</v>
      </c>
      <c r="I14" s="403" cm="1">
        <f t="array" ref="I14">IFERROR(INDEX('Autumn term 2025'!$AB$6:$AM$55,_xlfn.XMATCH(RIGHT(MFG!$A14,4)*1,'Autumn term 2025'!$AA$6:$AA$55),_xlfn.XMATCH(MFG!I$7,'Autumn term 2025'!$AB$5:$AM$5)),0)</f>
        <v>0</v>
      </c>
      <c r="J14" s="403" cm="1">
        <f t="array" ref="J14">IFERROR(INDEX('Autumn term 2025'!$AB$6:$AM$55,_xlfn.XMATCH(RIGHT(MFG!$A14,4)*1,'Autumn term 2025'!$AA$6:$AA$55),_xlfn.XMATCH(MFG!J$7,'Autumn term 2025'!$AB$5:$AM$5)),0)</f>
        <v>0</v>
      </c>
      <c r="K14" s="403" cm="1">
        <f t="array" ref="K14">IFERROR(INDEX('Autumn term 2025'!$AB$6:$AM$55,_xlfn.XMATCH(RIGHT(MFG!$A14,4)*1,'Autumn term 2025'!$AA$6:$AA$55),_xlfn.XMATCH(MFG!K$7,'Autumn term 2025'!$AB$5:$AM$5)),0)</f>
        <v>0</v>
      </c>
      <c r="L14" s="403" cm="1">
        <f t="array" ref="L14">IFERROR(INDEX('Autumn term 2025'!$AB$6:$AM$55,_xlfn.XMATCH(RIGHT(MFG!$A14,4)*1,'Autumn term 2025'!$AA$6:$AA$55),_xlfn.XMATCH(MFG!L$7,'Autumn term 2025'!$AB$5:$AM$5)),0)</f>
        <v>0</v>
      </c>
      <c r="M14" s="403" cm="1">
        <f t="array" ref="M14">IFERROR(INDEX('Autumn term 2025'!$AB$6:$AM$55,_xlfn.XMATCH(RIGHT(MFG!$A14,4)*1,'Autumn term 2025'!$AA$6:$AA$55),_xlfn.XMATCH(MFG!M$7,'Autumn term 2025'!$AB$5:$AM$5)),0)</f>
        <v>9</v>
      </c>
      <c r="N14" s="403" cm="1">
        <f t="array" ref="N14">IFERROR(INDEX('Autumn term 2025'!$AB$6:$AM$55,_xlfn.XMATCH(RIGHT(MFG!$A14,4)*1,'Autumn term 2025'!$AA$6:$AA$55),_xlfn.XMATCH(MFG!N$7,'Autumn term 2025'!$AB$5:$AM$5)),0)</f>
        <v>0</v>
      </c>
      <c r="O14" s="403" cm="1">
        <f t="array" ref="O14">IFERROR(INDEX('Autumn term 2025'!$AB$6:$AM$55,_xlfn.XMATCH(RIGHT(MFG!$A14,4)*1,'Autumn term 2025'!$AA$6:$AA$55),_xlfn.XMATCH(MFG!O$7,'Autumn term 2025'!$AB$5:$AM$5)),0)</f>
        <v>0</v>
      </c>
      <c r="P14" s="403" cm="1">
        <f t="array" ref="P14">IFERROR(INDEX('Autumn term 2025'!$AB$6:$AM$55,_xlfn.XMATCH(RIGHT(MFG!$A14,4)*1,'Autumn term 2025'!$AA$6:$AA$55),_xlfn.XMATCH(MFG!P$7,'Autumn term 2025'!$AB$5:$AM$5)),0)</f>
        <v>0</v>
      </c>
      <c r="Q14" s="404" cm="1">
        <f t="array" ref="Q14">IFERROR(INDEX('Autumn term 2025'!$AB$6:$AM$55,_xlfn.XMATCH(RIGHT(MFG!$A14,4)*1,'Autumn term 2025'!$AA$6:$AA$55),_xlfn.XMATCH(MFG!Q$7,'Autumn term 2025'!$AB$5:$AM$5)),0)</f>
        <v>0</v>
      </c>
      <c r="R14" s="412">
        <f>IF(VLOOKUP($A14,Data!$A$4:$I$81,9,FALSE)="PRI",G14*$G$2+H14*$H$2+I14*$I$2+J14*$J$2+K14*$K$2+L14*$L$2+M14*$M$2+N14*$N$2+O14*$O$2+P14*$P$2+Q14*$Q$2,G14*$G$3+H14*$H$3+I14*$I$3+J14*$J$3+K14*$K$3+L14*$L$3+M14*$M$3+N14*$N$3+O14*$O$3+P14*$P$3+Q14*$Q$3)</f>
        <v>305658</v>
      </c>
      <c r="S14" s="145">
        <f>IF(VLOOKUP($A14,Data!$A$4:$I$81,9,FALSE)="PRI",G14*$G$4+H14*$H$4+I14*$I$4+J14*$J$4+K14*$K$4+L14*$L$4+M14*$M$4+N14*$N$4+O14*$O$4+P14*$P$4+Q14*$Q$4,G14*$G$5+H14*$H$5+I14*$I$5+J14*$J$5+K14*$K$5+L14*$L$5+M14*$M$5+N14*$N$5+O14*$O$5+P14*$P$5+Q14*$Q$5)</f>
        <v>315486</v>
      </c>
      <c r="T14" s="229">
        <f>IFERROR(VLOOKUP(RIGHT($A14,4)*1,'Autumn term 2025'!$U$6:$X$16,3,FALSE),0)</f>
        <v>0</v>
      </c>
      <c r="U14" s="230">
        <f>IFERROR(VLOOKUP(RIGHT($A14,4)*1,'Autumn term 2025'!$U$6:$X$16,2,FALSE),0)</f>
        <v>0</v>
      </c>
      <c r="V14" s="231">
        <f>IF(VLOOKUP($A14,Data!$A$3:$I$81,9,FALSE)="Pri",T14*$T$2+U14*$U$2,T14*$T$3+U14*$U$3)</f>
        <v>0</v>
      </c>
      <c r="W14" s="232">
        <f>IF(VLOOKUP($A14,Data!$A$3:$I$81,9,FALSE)="Pri",T14*$T$4+U14*$U$4,T14*$T$5+U14*$U$5)</f>
        <v>0</v>
      </c>
      <c r="X14" s="235">
        <f t="shared" si="21"/>
        <v>0</v>
      </c>
      <c r="Y14" s="399">
        <f t="shared" si="22"/>
        <v>432158</v>
      </c>
      <c r="Z14" s="234">
        <f t="shared" si="23"/>
        <v>432158</v>
      </c>
      <c r="AA14" s="46">
        <f t="shared" si="24"/>
        <v>441986</v>
      </c>
      <c r="AB14" s="400">
        <f t="shared" si="25"/>
        <v>0</v>
      </c>
      <c r="AC14" s="21">
        <f t="shared" si="26"/>
        <v>0</v>
      </c>
      <c r="AD14" s="11"/>
      <c r="AE14" s="11"/>
      <c r="AF14" s="146">
        <f>IFERROR(VLOOKUP(A14,'25-26 MFG'!A:D,3,FALSE),0)</f>
        <v>0</v>
      </c>
      <c r="AG14" s="75">
        <f>IFERROR(VLOOKUP(A14,'25-26 MFG'!A:D,4,FALSE),0)</f>
        <v>0</v>
      </c>
      <c r="AH14" s="224">
        <f t="shared" si="27"/>
        <v>0</v>
      </c>
    </row>
    <row r="15" spans="1:34">
      <c r="A15" s="7">
        <v>8502062</v>
      </c>
      <c r="B15" s="142" t="s">
        <v>6</v>
      </c>
      <c r="C15" s="16">
        <f>IFERROR(VLOOKUP(RIGHT($A15,4)*1,'Autumn term 2025'!$AA$6:$AM$57,12,FALSE),0)</f>
        <v>8.26</v>
      </c>
      <c r="D15" s="16">
        <f>SUMIF(APN!$A$3:$A$97,(RIGHT($A15,4)*1),APN!$K$3:$K$97)</f>
        <v>9.3333333333333339</v>
      </c>
      <c r="E15" s="209">
        <f>D15*Values!$J$17</f>
        <v>56000</v>
      </c>
      <c r="F15" s="410">
        <f t="shared" si="20"/>
        <v>56000</v>
      </c>
      <c r="G15" s="402" cm="1">
        <f t="array" ref="G15">IFERROR(INDEX('Autumn term 2025'!$AB$6:$AM$55,_xlfn.XMATCH(RIGHT(MFG!$A15,4)*1,'Autumn term 2025'!$AA$6:$AA$55),_xlfn.XMATCH(MFG!G$7,'Autumn term 2025'!$AB$5:$AM$5)),0)</f>
        <v>0</v>
      </c>
      <c r="H15" s="403" cm="1">
        <f t="array" ref="H15">IFERROR(INDEX('Autumn term 2025'!$AB$6:$AM$55,_xlfn.XMATCH(RIGHT(MFG!$A15,4)*1,'Autumn term 2025'!$AA$6:$AA$55),_xlfn.XMATCH(MFG!H$7,'Autumn term 2025'!$AB$5:$AM$5)),0)</f>
        <v>0</v>
      </c>
      <c r="I15" s="403" cm="1">
        <f t="array" ref="I15">IFERROR(INDEX('Autumn term 2025'!$AB$6:$AM$55,_xlfn.XMATCH(RIGHT(MFG!$A15,4)*1,'Autumn term 2025'!$AA$6:$AA$55),_xlfn.XMATCH(MFG!I$7,'Autumn term 2025'!$AB$5:$AM$5)),0)</f>
        <v>0</v>
      </c>
      <c r="J15" s="403" cm="1">
        <f t="array" ref="J15">IFERROR(INDEX('Autumn term 2025'!$AB$6:$AM$55,_xlfn.XMATCH(RIGHT(MFG!$A15,4)*1,'Autumn term 2025'!$AA$6:$AA$55),_xlfn.XMATCH(MFG!J$7,'Autumn term 2025'!$AB$5:$AM$5)),0)</f>
        <v>0</v>
      </c>
      <c r="K15" s="403" cm="1">
        <f t="array" ref="K15">IFERROR(INDEX('Autumn term 2025'!$AB$6:$AM$55,_xlfn.XMATCH(RIGHT(MFG!$A15,4)*1,'Autumn term 2025'!$AA$6:$AA$55),_xlfn.XMATCH(MFG!K$7,'Autumn term 2025'!$AB$5:$AM$5)),0)</f>
        <v>0</v>
      </c>
      <c r="L15" s="403" cm="1">
        <f t="array" ref="L15">IFERROR(INDEX('Autumn term 2025'!$AB$6:$AM$55,_xlfn.XMATCH(RIGHT(MFG!$A15,4)*1,'Autumn term 2025'!$AA$6:$AA$55),_xlfn.XMATCH(MFG!L$7,'Autumn term 2025'!$AB$5:$AM$5)),0)</f>
        <v>0</v>
      </c>
      <c r="M15" s="403" cm="1">
        <f t="array" ref="M15">IFERROR(INDEX('Autumn term 2025'!$AB$6:$AM$55,_xlfn.XMATCH(RIGHT(MFG!$A15,4)*1,'Autumn term 2025'!$AA$6:$AA$55),_xlfn.XMATCH(MFG!M$7,'Autumn term 2025'!$AB$5:$AM$5)),0)</f>
        <v>8.26</v>
      </c>
      <c r="N15" s="403" cm="1">
        <f t="array" ref="N15">IFERROR(INDEX('Autumn term 2025'!$AB$6:$AM$55,_xlfn.XMATCH(RIGHT(MFG!$A15,4)*1,'Autumn term 2025'!$AA$6:$AA$55),_xlfn.XMATCH(MFG!N$7,'Autumn term 2025'!$AB$5:$AM$5)),0)</f>
        <v>0</v>
      </c>
      <c r="O15" s="403" cm="1">
        <f t="array" ref="O15">IFERROR(INDEX('Autumn term 2025'!$AB$6:$AM$55,_xlfn.XMATCH(RIGHT(MFG!$A15,4)*1,'Autumn term 2025'!$AA$6:$AA$55),_xlfn.XMATCH(MFG!O$7,'Autumn term 2025'!$AB$5:$AM$5)),0)</f>
        <v>0</v>
      </c>
      <c r="P15" s="403" cm="1">
        <f t="array" ref="P15">IFERROR(INDEX('Autumn term 2025'!$AB$6:$AM$55,_xlfn.XMATCH(RIGHT(MFG!$A15,4)*1,'Autumn term 2025'!$AA$6:$AA$55),_xlfn.XMATCH(MFG!P$7,'Autumn term 2025'!$AB$5:$AM$5)),0)</f>
        <v>0</v>
      </c>
      <c r="Q15" s="404" cm="1">
        <f t="array" ref="Q15">IFERROR(INDEX('Autumn term 2025'!$AB$6:$AM$55,_xlfn.XMATCH(RIGHT(MFG!$A15,4)*1,'Autumn term 2025'!$AA$6:$AA$55),_xlfn.XMATCH(MFG!Q$7,'Autumn term 2025'!$AB$5:$AM$5)),0)</f>
        <v>0</v>
      </c>
      <c r="R15" s="412">
        <f>IF(VLOOKUP($A15,Data!$A$4:$I$81,9,FALSE)="PRI",G15*$G$2+H15*$H$2+I15*$I$2+J15*$J$2+K15*$K$2+L15*$L$2+M15*$M$2+N15*$N$2+O15*$O$2+P15*$P$2+Q15*$Q$2,G15*$G$3+H15*$H$3+I15*$I$3+J15*$J$3+K15*$K$3+L15*$L$3+M15*$M$3+N15*$N$3+O15*$O$3+P15*$P$3+Q15*$Q$3)</f>
        <v>102837</v>
      </c>
      <c r="S15" s="145">
        <f>IF(VLOOKUP($A15,Data!$A$4:$I$81,9,FALSE)="PRI",G15*$G$4+H15*$H$4+I15*$I$4+J15*$J$4+K15*$K$4+L15*$L$4+M15*$M$4+N15*$N$4+O15*$O$4+P15*$P$4+Q15*$Q$4,G15*$G$5+H15*$H$5+I15*$I$5+J15*$J$5+K15*$K$5+L15*$L$5+M15*$M$5+N15*$N$5+O15*$O$5+P15*$P$5+Q15*$Q$5)</f>
        <v>106041.87999999999</v>
      </c>
      <c r="T15" s="229">
        <f>IFERROR(VLOOKUP(RIGHT($A15,4)*1,'Autumn term 2025'!$U$6:$X$16,3,FALSE),0)</f>
        <v>0</v>
      </c>
      <c r="U15" s="230">
        <f>IFERROR(VLOOKUP(RIGHT($A15,4)*1,'Autumn term 2025'!$U$6:$X$16,2,FALSE),0)</f>
        <v>0</v>
      </c>
      <c r="V15" s="231">
        <f>IF(VLOOKUP($A15,Data!$A$3:$I$81,9,FALSE)="Pri",T15*$T$2+U15*$U$2,T15*$T$3+U15*$U$3)</f>
        <v>0</v>
      </c>
      <c r="W15" s="232">
        <f>IF(VLOOKUP($A15,Data!$A$3:$I$81,9,FALSE)="Pri",T15*$T$4+U15*$U$4,T15*$T$5+U15*$U$5)</f>
        <v>0</v>
      </c>
      <c r="X15" s="235">
        <f t="shared" si="21"/>
        <v>0</v>
      </c>
      <c r="Y15" s="399">
        <f t="shared" si="22"/>
        <v>158837</v>
      </c>
      <c r="Z15" s="234">
        <f t="shared" si="23"/>
        <v>158837</v>
      </c>
      <c r="AA15" s="46">
        <f t="shared" si="24"/>
        <v>162041.88</v>
      </c>
      <c r="AB15" s="400">
        <f t="shared" si="25"/>
        <v>0</v>
      </c>
      <c r="AC15" s="21">
        <f t="shared" si="26"/>
        <v>0</v>
      </c>
      <c r="AD15" s="11"/>
      <c r="AE15" s="11"/>
      <c r="AF15" s="146">
        <f>IFERROR(VLOOKUP(A15,'25-26 MFG'!A:D,3,FALSE),0)</f>
        <v>0</v>
      </c>
      <c r="AG15" s="75">
        <f>IFERROR(VLOOKUP(A15,'25-26 MFG'!A:D,4,FALSE),0)</f>
        <v>0</v>
      </c>
      <c r="AH15" s="224">
        <f t="shared" si="27"/>
        <v>0</v>
      </c>
    </row>
    <row r="16" spans="1:34">
      <c r="A16" s="7">
        <v>8502070</v>
      </c>
      <c r="B16" s="142" t="s">
        <v>148</v>
      </c>
      <c r="C16" s="16">
        <f>IFERROR(VLOOKUP(RIGHT($A16,4)*1,'Autumn term 2025'!$AA$6:$AM$57,12,FALSE),0)</f>
        <v>0</v>
      </c>
      <c r="D16" s="16">
        <f>SUMIF(APN!$A$3:$A$97,(RIGHT($A16,4)*1),APN!$K$3:$K$97)</f>
        <v>0</v>
      </c>
      <c r="E16" s="209">
        <f>D16*Values!$J$17</f>
        <v>0</v>
      </c>
      <c r="F16" s="410">
        <f t="shared" si="20"/>
        <v>0</v>
      </c>
      <c r="G16" s="402" cm="1">
        <f t="array" ref="G16">IFERROR(INDEX('Autumn term 2025'!$AB$6:$AM$55,_xlfn.XMATCH(RIGHT(MFG!$A16,4)*1,'Autumn term 2025'!$AA$6:$AA$55),_xlfn.XMATCH(MFG!G$7,'Autumn term 2025'!$AB$5:$AM$5)),0)</f>
        <v>0</v>
      </c>
      <c r="H16" s="403" cm="1">
        <f t="array" ref="H16">IFERROR(INDEX('Autumn term 2025'!$AB$6:$AM$55,_xlfn.XMATCH(RIGHT(MFG!$A16,4)*1,'Autumn term 2025'!$AA$6:$AA$55),_xlfn.XMATCH(MFG!H$7,'Autumn term 2025'!$AB$5:$AM$5)),0)</f>
        <v>0</v>
      </c>
      <c r="I16" s="403" cm="1">
        <f t="array" ref="I16">IFERROR(INDEX('Autumn term 2025'!$AB$6:$AM$55,_xlfn.XMATCH(RIGHT(MFG!$A16,4)*1,'Autumn term 2025'!$AA$6:$AA$55),_xlfn.XMATCH(MFG!I$7,'Autumn term 2025'!$AB$5:$AM$5)),0)</f>
        <v>0</v>
      </c>
      <c r="J16" s="403" cm="1">
        <f t="array" ref="J16">IFERROR(INDEX('Autumn term 2025'!$AB$6:$AM$55,_xlfn.XMATCH(RIGHT(MFG!$A16,4)*1,'Autumn term 2025'!$AA$6:$AA$55),_xlfn.XMATCH(MFG!J$7,'Autumn term 2025'!$AB$5:$AM$5)),0)</f>
        <v>0</v>
      </c>
      <c r="K16" s="403" cm="1">
        <f t="array" ref="K16">IFERROR(INDEX('Autumn term 2025'!$AB$6:$AM$55,_xlfn.XMATCH(RIGHT(MFG!$A16,4)*1,'Autumn term 2025'!$AA$6:$AA$55),_xlfn.XMATCH(MFG!K$7,'Autumn term 2025'!$AB$5:$AM$5)),0)</f>
        <v>0</v>
      </c>
      <c r="L16" s="403" cm="1">
        <f t="array" ref="L16">IFERROR(INDEX('Autumn term 2025'!$AB$6:$AM$55,_xlfn.XMATCH(RIGHT(MFG!$A16,4)*1,'Autumn term 2025'!$AA$6:$AA$55),_xlfn.XMATCH(MFG!L$7,'Autumn term 2025'!$AB$5:$AM$5)),0)</f>
        <v>0</v>
      </c>
      <c r="M16" s="403" cm="1">
        <f t="array" ref="M16">IFERROR(INDEX('Autumn term 2025'!$AB$6:$AM$55,_xlfn.XMATCH(RIGHT(MFG!$A16,4)*1,'Autumn term 2025'!$AA$6:$AA$55),_xlfn.XMATCH(MFG!M$7,'Autumn term 2025'!$AB$5:$AM$5)),0)</f>
        <v>0</v>
      </c>
      <c r="N16" s="403" cm="1">
        <f t="array" ref="N16">IFERROR(INDEX('Autumn term 2025'!$AB$6:$AM$55,_xlfn.XMATCH(RIGHT(MFG!$A16,4)*1,'Autumn term 2025'!$AA$6:$AA$55),_xlfn.XMATCH(MFG!N$7,'Autumn term 2025'!$AB$5:$AM$5)),0)</f>
        <v>0</v>
      </c>
      <c r="O16" s="403" cm="1">
        <f t="array" ref="O16">IFERROR(INDEX('Autumn term 2025'!$AB$6:$AM$55,_xlfn.XMATCH(RIGHT(MFG!$A16,4)*1,'Autumn term 2025'!$AA$6:$AA$55),_xlfn.XMATCH(MFG!O$7,'Autumn term 2025'!$AB$5:$AM$5)),0)</f>
        <v>0</v>
      </c>
      <c r="P16" s="403" cm="1">
        <f t="array" ref="P16">IFERROR(INDEX('Autumn term 2025'!$AB$6:$AM$55,_xlfn.XMATCH(RIGHT(MFG!$A16,4)*1,'Autumn term 2025'!$AA$6:$AA$55),_xlfn.XMATCH(MFG!P$7,'Autumn term 2025'!$AB$5:$AM$5)),0)</f>
        <v>0</v>
      </c>
      <c r="Q16" s="404" cm="1">
        <f t="array" ref="Q16">IFERROR(INDEX('Autumn term 2025'!$AB$6:$AM$55,_xlfn.XMATCH(RIGHT(MFG!$A16,4)*1,'Autumn term 2025'!$AA$6:$AA$55),_xlfn.XMATCH(MFG!Q$7,'Autumn term 2025'!$AB$5:$AM$5)),0)</f>
        <v>0</v>
      </c>
      <c r="R16" s="412">
        <f>IF(VLOOKUP($A16,Data!$A$4:$I$81,9,FALSE)="PRI",G16*$G$2+H16*$H$2+I16*$I$2+J16*$J$2+K16*$K$2+L16*$L$2+M16*$M$2+N16*$N$2+O16*$O$2+P16*$P$2+Q16*$Q$2,G16*$G$3+H16*$H$3+I16*$I$3+J16*$J$3+K16*$K$3+L16*$L$3+M16*$M$3+N16*$N$3+O16*$O$3+P16*$P$3+Q16*$Q$3)</f>
        <v>0</v>
      </c>
      <c r="S16" s="145">
        <f>IF(VLOOKUP($A16,Data!$A$4:$I$81,9,FALSE)="PRI",G16*$G$4+H16*$H$4+I16*$I$4+J16*$J$4+K16*$K$4+L16*$L$4+M16*$M$4+N16*$N$4+O16*$O$4+P16*$P$4+Q16*$Q$4,G16*$G$5+H16*$H$5+I16*$I$5+J16*$J$5+K16*$K$5+L16*$L$5+M16*$M$5+N16*$N$5+O16*$O$5+P16*$P$5+Q16*$Q$5)</f>
        <v>0</v>
      </c>
      <c r="T16" s="229">
        <f>IFERROR(VLOOKUP(RIGHT($A16,4)*1,'Autumn term 2025'!$U$6:$X$16,3,FALSE),0)</f>
        <v>0</v>
      </c>
      <c r="U16" s="230">
        <f>IFERROR(VLOOKUP(RIGHT($A16,4)*1,'Autumn term 2025'!$U$6:$X$16,2,FALSE),0)</f>
        <v>0</v>
      </c>
      <c r="V16" s="231">
        <f>IF(VLOOKUP($A16,Data!$A$3:$I$81,9,FALSE)="Pri",T16*$T$2+U16*$U$2,T16*$T$3+U16*$U$3)</f>
        <v>0</v>
      </c>
      <c r="W16" s="232">
        <f>IF(VLOOKUP($A16,Data!$A$3:$I$81,9,FALSE)="Pri",T16*$T$4+U16*$U$4,T16*$T$5+U16*$U$5)</f>
        <v>0</v>
      </c>
      <c r="X16" s="235">
        <f t="shared" si="21"/>
        <v>0</v>
      </c>
      <c r="Y16" s="399">
        <f t="shared" si="22"/>
        <v>0</v>
      </c>
      <c r="Z16" s="234">
        <f t="shared" si="23"/>
        <v>0</v>
      </c>
      <c r="AA16" s="46">
        <f t="shared" si="24"/>
        <v>0</v>
      </c>
      <c r="AB16" s="400">
        <f t="shared" si="25"/>
        <v>0</v>
      </c>
      <c r="AC16" s="21">
        <f t="shared" si="26"/>
        <v>0</v>
      </c>
      <c r="AD16" s="11"/>
      <c r="AE16" s="11"/>
      <c r="AF16" s="146">
        <f>IFERROR(VLOOKUP(A16,'25-26 MFG'!A:D,3,FALSE),0)</f>
        <v>0</v>
      </c>
      <c r="AG16" s="75">
        <f>IFERROR(VLOOKUP(A16,'25-26 MFG'!A:D,4,FALSE),0)</f>
        <v>0</v>
      </c>
      <c r="AH16" s="224">
        <f t="shared" si="27"/>
        <v>0</v>
      </c>
    </row>
    <row r="17" spans="1:34">
      <c r="A17" s="7">
        <v>8502071</v>
      </c>
      <c r="B17" s="142" t="s">
        <v>149</v>
      </c>
      <c r="C17" s="16">
        <f>IFERROR(VLOOKUP(RIGHT($A17,4)*1,'Autumn term 2025'!$AA$6:$AM$57,12,FALSE),0)</f>
        <v>0</v>
      </c>
      <c r="D17" s="16">
        <f>SUMIF(APN!$A$3:$A$97,(RIGHT($A17,4)*1),APN!$K$3:$K$97)</f>
        <v>0</v>
      </c>
      <c r="E17" s="209">
        <f>D17*Values!$J$17</f>
        <v>0</v>
      </c>
      <c r="F17" s="410">
        <f t="shared" si="20"/>
        <v>0</v>
      </c>
      <c r="G17" s="402" cm="1">
        <f t="array" ref="G17">IFERROR(INDEX('Autumn term 2025'!$AB$6:$AM$55,_xlfn.XMATCH(RIGHT(MFG!$A17,4)*1,'Autumn term 2025'!$AA$6:$AA$55),_xlfn.XMATCH(MFG!G$7,'Autumn term 2025'!$AB$5:$AM$5)),0)</f>
        <v>0</v>
      </c>
      <c r="H17" s="403" cm="1">
        <f t="array" ref="H17">IFERROR(INDEX('Autumn term 2025'!$AB$6:$AM$55,_xlfn.XMATCH(RIGHT(MFG!$A17,4)*1,'Autumn term 2025'!$AA$6:$AA$55),_xlfn.XMATCH(MFG!H$7,'Autumn term 2025'!$AB$5:$AM$5)),0)</f>
        <v>0</v>
      </c>
      <c r="I17" s="403" cm="1">
        <f t="array" ref="I17">IFERROR(INDEX('Autumn term 2025'!$AB$6:$AM$55,_xlfn.XMATCH(RIGHT(MFG!$A17,4)*1,'Autumn term 2025'!$AA$6:$AA$55),_xlfn.XMATCH(MFG!I$7,'Autumn term 2025'!$AB$5:$AM$5)),0)</f>
        <v>0</v>
      </c>
      <c r="J17" s="403" cm="1">
        <f t="array" ref="J17">IFERROR(INDEX('Autumn term 2025'!$AB$6:$AM$55,_xlfn.XMATCH(RIGHT(MFG!$A17,4)*1,'Autumn term 2025'!$AA$6:$AA$55),_xlfn.XMATCH(MFG!J$7,'Autumn term 2025'!$AB$5:$AM$5)),0)</f>
        <v>0</v>
      </c>
      <c r="K17" s="403" cm="1">
        <f t="array" ref="K17">IFERROR(INDEX('Autumn term 2025'!$AB$6:$AM$55,_xlfn.XMATCH(RIGHT(MFG!$A17,4)*1,'Autumn term 2025'!$AA$6:$AA$55),_xlfn.XMATCH(MFG!K$7,'Autumn term 2025'!$AB$5:$AM$5)),0)</f>
        <v>0</v>
      </c>
      <c r="L17" s="403" cm="1">
        <f t="array" ref="L17">IFERROR(INDEX('Autumn term 2025'!$AB$6:$AM$55,_xlfn.XMATCH(RIGHT(MFG!$A17,4)*1,'Autumn term 2025'!$AA$6:$AA$55),_xlfn.XMATCH(MFG!L$7,'Autumn term 2025'!$AB$5:$AM$5)),0)</f>
        <v>0</v>
      </c>
      <c r="M17" s="403" cm="1">
        <f t="array" ref="M17">IFERROR(INDEX('Autumn term 2025'!$AB$6:$AM$55,_xlfn.XMATCH(RIGHT(MFG!$A17,4)*1,'Autumn term 2025'!$AA$6:$AA$55),_xlfn.XMATCH(MFG!M$7,'Autumn term 2025'!$AB$5:$AM$5)),0)</f>
        <v>0</v>
      </c>
      <c r="N17" s="403" cm="1">
        <f t="array" ref="N17">IFERROR(INDEX('Autumn term 2025'!$AB$6:$AM$55,_xlfn.XMATCH(RIGHT(MFG!$A17,4)*1,'Autumn term 2025'!$AA$6:$AA$55),_xlfn.XMATCH(MFG!N$7,'Autumn term 2025'!$AB$5:$AM$5)),0)</f>
        <v>0</v>
      </c>
      <c r="O17" s="403" cm="1">
        <f t="array" ref="O17">IFERROR(INDEX('Autumn term 2025'!$AB$6:$AM$55,_xlfn.XMATCH(RIGHT(MFG!$A17,4)*1,'Autumn term 2025'!$AA$6:$AA$55),_xlfn.XMATCH(MFG!O$7,'Autumn term 2025'!$AB$5:$AM$5)),0)</f>
        <v>0</v>
      </c>
      <c r="P17" s="403" cm="1">
        <f t="array" ref="P17">IFERROR(INDEX('Autumn term 2025'!$AB$6:$AM$55,_xlfn.XMATCH(RIGHT(MFG!$A17,4)*1,'Autumn term 2025'!$AA$6:$AA$55),_xlfn.XMATCH(MFG!P$7,'Autumn term 2025'!$AB$5:$AM$5)),0)</f>
        <v>0</v>
      </c>
      <c r="Q17" s="404" cm="1">
        <f t="array" ref="Q17">IFERROR(INDEX('Autumn term 2025'!$AB$6:$AM$55,_xlfn.XMATCH(RIGHT(MFG!$A17,4)*1,'Autumn term 2025'!$AA$6:$AA$55),_xlfn.XMATCH(MFG!Q$7,'Autumn term 2025'!$AB$5:$AM$5)),0)</f>
        <v>0</v>
      </c>
      <c r="R17" s="412">
        <f>IF(VLOOKUP($A17,Data!$A$4:$I$81,9,FALSE)="PRI",G17*$G$2+H17*$H$2+I17*$I$2+J17*$J$2+K17*$K$2+L17*$L$2+M17*$M$2+N17*$N$2+O17*$O$2+P17*$P$2+Q17*$Q$2,G17*$G$3+H17*$H$3+I17*$I$3+J17*$J$3+K17*$K$3+L17*$L$3+M17*$M$3+N17*$N$3+O17*$O$3+P17*$P$3+Q17*$Q$3)</f>
        <v>0</v>
      </c>
      <c r="S17" s="145">
        <f>IF(VLOOKUP($A17,Data!$A$4:$I$81,9,FALSE)="PRI",G17*$G$4+H17*$H$4+I17*$I$4+J17*$J$4+K17*$K$4+L17*$L$4+M17*$M$4+N17*$N$4+O17*$O$4+P17*$P$4+Q17*$Q$4,G17*$G$5+H17*$H$5+I17*$I$5+J17*$J$5+K17*$K$5+L17*$L$5+M17*$M$5+N17*$N$5+O17*$O$5+P17*$P$5+Q17*$Q$5)</f>
        <v>0</v>
      </c>
      <c r="T17" s="229">
        <f>IFERROR(VLOOKUP(RIGHT($A17,4)*1,'Autumn term 2025'!$U$6:$X$16,3,FALSE),0)</f>
        <v>0</v>
      </c>
      <c r="U17" s="230">
        <f>IFERROR(VLOOKUP(RIGHT($A17,4)*1,'Autumn term 2025'!$U$6:$X$16,2,FALSE),0)</f>
        <v>0</v>
      </c>
      <c r="V17" s="231">
        <f>IF(VLOOKUP($A17,Data!$A$3:$I$81,9,FALSE)="Pri",T17*$T$2+U17*$U$2,T17*$T$3+U17*$U$3)</f>
        <v>0</v>
      </c>
      <c r="W17" s="232">
        <f>IF(VLOOKUP($A17,Data!$A$3:$I$81,9,FALSE)="Pri",T17*$T$4+U17*$U$4,T17*$T$5+U17*$U$5)</f>
        <v>0</v>
      </c>
      <c r="X17" s="235">
        <f t="shared" si="21"/>
        <v>0</v>
      </c>
      <c r="Y17" s="399">
        <f t="shared" si="22"/>
        <v>0</v>
      </c>
      <c r="Z17" s="234">
        <f t="shared" si="23"/>
        <v>0</v>
      </c>
      <c r="AA17" s="46">
        <f t="shared" si="24"/>
        <v>0</v>
      </c>
      <c r="AB17" s="400">
        <f t="shared" si="25"/>
        <v>0</v>
      </c>
      <c r="AC17" s="21">
        <f t="shared" si="26"/>
        <v>0</v>
      </c>
      <c r="AD17" s="11"/>
      <c r="AE17" s="11"/>
      <c r="AF17" s="146">
        <f>IFERROR(VLOOKUP(A17,'25-26 MFG'!A:D,3,FALSE),0)</f>
        <v>0</v>
      </c>
      <c r="AG17" s="75">
        <f>IFERROR(VLOOKUP(A17,'25-26 MFG'!A:D,4,FALSE),0)</f>
        <v>0</v>
      </c>
      <c r="AH17" s="224">
        <f t="shared" si="27"/>
        <v>0</v>
      </c>
    </row>
    <row r="18" spans="1:34">
      <c r="A18" s="7">
        <v>8502072</v>
      </c>
      <c r="B18" s="142" t="s">
        <v>150</v>
      </c>
      <c r="C18" s="16">
        <f>IFERROR(VLOOKUP(RIGHT($A18,4)*1,'Autumn term 2025'!$AA$6:$AM$57,12,FALSE),0)</f>
        <v>0</v>
      </c>
      <c r="D18" s="16">
        <f>SUMIF(APN!$A$3:$A$97,(RIGHT($A18,4)*1),APN!$K$3:$K$97)</f>
        <v>0</v>
      </c>
      <c r="E18" s="209">
        <f>D18*Values!$J$17</f>
        <v>0</v>
      </c>
      <c r="F18" s="410">
        <f t="shared" si="20"/>
        <v>0</v>
      </c>
      <c r="G18" s="402" cm="1">
        <f t="array" ref="G18">IFERROR(INDEX('Autumn term 2025'!$AB$6:$AM$55,_xlfn.XMATCH(RIGHT(MFG!$A18,4)*1,'Autumn term 2025'!$AA$6:$AA$55),_xlfn.XMATCH(MFG!G$7,'Autumn term 2025'!$AB$5:$AM$5)),0)</f>
        <v>0</v>
      </c>
      <c r="H18" s="403" cm="1">
        <f t="array" ref="H18">IFERROR(INDEX('Autumn term 2025'!$AB$6:$AM$55,_xlfn.XMATCH(RIGHT(MFG!$A18,4)*1,'Autumn term 2025'!$AA$6:$AA$55),_xlfn.XMATCH(MFG!H$7,'Autumn term 2025'!$AB$5:$AM$5)),0)</f>
        <v>0</v>
      </c>
      <c r="I18" s="403" cm="1">
        <f t="array" ref="I18">IFERROR(INDEX('Autumn term 2025'!$AB$6:$AM$55,_xlfn.XMATCH(RIGHT(MFG!$A18,4)*1,'Autumn term 2025'!$AA$6:$AA$55),_xlfn.XMATCH(MFG!I$7,'Autumn term 2025'!$AB$5:$AM$5)),0)</f>
        <v>0</v>
      </c>
      <c r="J18" s="403" cm="1">
        <f t="array" ref="J18">IFERROR(INDEX('Autumn term 2025'!$AB$6:$AM$55,_xlfn.XMATCH(RIGHT(MFG!$A18,4)*1,'Autumn term 2025'!$AA$6:$AA$55),_xlfn.XMATCH(MFG!J$7,'Autumn term 2025'!$AB$5:$AM$5)),0)</f>
        <v>0</v>
      </c>
      <c r="K18" s="403" cm="1">
        <f t="array" ref="K18">IFERROR(INDEX('Autumn term 2025'!$AB$6:$AM$55,_xlfn.XMATCH(RIGHT(MFG!$A18,4)*1,'Autumn term 2025'!$AA$6:$AA$55),_xlfn.XMATCH(MFG!K$7,'Autumn term 2025'!$AB$5:$AM$5)),0)</f>
        <v>0</v>
      </c>
      <c r="L18" s="403" cm="1">
        <f t="array" ref="L18">IFERROR(INDEX('Autumn term 2025'!$AB$6:$AM$55,_xlfn.XMATCH(RIGHT(MFG!$A18,4)*1,'Autumn term 2025'!$AA$6:$AA$55),_xlfn.XMATCH(MFG!L$7,'Autumn term 2025'!$AB$5:$AM$5)),0)</f>
        <v>0</v>
      </c>
      <c r="M18" s="403" cm="1">
        <f t="array" ref="M18">IFERROR(INDEX('Autumn term 2025'!$AB$6:$AM$55,_xlfn.XMATCH(RIGHT(MFG!$A18,4)*1,'Autumn term 2025'!$AA$6:$AA$55),_xlfn.XMATCH(MFG!M$7,'Autumn term 2025'!$AB$5:$AM$5)),0)</f>
        <v>0</v>
      </c>
      <c r="N18" s="403" cm="1">
        <f t="array" ref="N18">IFERROR(INDEX('Autumn term 2025'!$AB$6:$AM$55,_xlfn.XMATCH(RIGHT(MFG!$A18,4)*1,'Autumn term 2025'!$AA$6:$AA$55),_xlfn.XMATCH(MFG!N$7,'Autumn term 2025'!$AB$5:$AM$5)),0)</f>
        <v>0</v>
      </c>
      <c r="O18" s="403" cm="1">
        <f t="array" ref="O18">IFERROR(INDEX('Autumn term 2025'!$AB$6:$AM$55,_xlfn.XMATCH(RIGHT(MFG!$A18,4)*1,'Autumn term 2025'!$AA$6:$AA$55),_xlfn.XMATCH(MFG!O$7,'Autumn term 2025'!$AB$5:$AM$5)),0)</f>
        <v>0</v>
      </c>
      <c r="P18" s="403" cm="1">
        <f t="array" ref="P18">IFERROR(INDEX('Autumn term 2025'!$AB$6:$AM$55,_xlfn.XMATCH(RIGHT(MFG!$A18,4)*1,'Autumn term 2025'!$AA$6:$AA$55),_xlfn.XMATCH(MFG!P$7,'Autumn term 2025'!$AB$5:$AM$5)),0)</f>
        <v>0</v>
      </c>
      <c r="Q18" s="404" cm="1">
        <f t="array" ref="Q18">IFERROR(INDEX('Autumn term 2025'!$AB$6:$AM$55,_xlfn.XMATCH(RIGHT(MFG!$A18,4)*1,'Autumn term 2025'!$AA$6:$AA$55),_xlfn.XMATCH(MFG!Q$7,'Autumn term 2025'!$AB$5:$AM$5)),0)</f>
        <v>0</v>
      </c>
      <c r="R18" s="412">
        <f>IF(VLOOKUP($A18,Data!$A$4:$I$81,9,FALSE)="PRI",G18*$G$2+H18*$H$2+I18*$I$2+J18*$J$2+K18*$K$2+L18*$L$2+M18*$M$2+N18*$N$2+O18*$O$2+P18*$P$2+Q18*$Q$2,G18*$G$3+H18*$H$3+I18*$I$3+J18*$J$3+K18*$K$3+L18*$L$3+M18*$M$3+N18*$N$3+O18*$O$3+P18*$P$3+Q18*$Q$3)</f>
        <v>0</v>
      </c>
      <c r="S18" s="145">
        <f>IF(VLOOKUP($A18,Data!$A$4:$I$81,9,FALSE)="PRI",G18*$G$4+H18*$H$4+I18*$I$4+J18*$J$4+K18*$K$4+L18*$L$4+M18*$M$4+N18*$N$4+O18*$O$4+P18*$P$4+Q18*$Q$4,G18*$G$5+H18*$H$5+I18*$I$5+J18*$J$5+K18*$K$5+L18*$L$5+M18*$M$5+N18*$N$5+O18*$O$5+P18*$P$5+Q18*$Q$5)</f>
        <v>0</v>
      </c>
      <c r="T18" s="229">
        <f>IFERROR(VLOOKUP(RIGHT($A18,4)*1,'Autumn term 2025'!$U$6:$X$16,3,FALSE),0)</f>
        <v>0</v>
      </c>
      <c r="U18" s="230">
        <f>IFERROR(VLOOKUP(RIGHT($A18,4)*1,'Autumn term 2025'!$U$6:$X$16,2,FALSE),0)</f>
        <v>0</v>
      </c>
      <c r="V18" s="231">
        <f>IF(VLOOKUP($A18,Data!$A$3:$I$81,9,FALSE)="Pri",T18*$T$2+U18*$U$2,T18*$T$3+U18*$U$3)</f>
        <v>0</v>
      </c>
      <c r="W18" s="232">
        <f>IF(VLOOKUP($A18,Data!$A$3:$I$81,9,FALSE)="Pri",T18*$T$4+U18*$U$4,T18*$T$5+U18*$U$5)</f>
        <v>0</v>
      </c>
      <c r="X18" s="235">
        <f t="shared" si="21"/>
        <v>0</v>
      </c>
      <c r="Y18" s="399">
        <f t="shared" si="22"/>
        <v>0</v>
      </c>
      <c r="Z18" s="234">
        <f t="shared" si="23"/>
        <v>0</v>
      </c>
      <c r="AA18" s="46">
        <f t="shared" si="24"/>
        <v>0</v>
      </c>
      <c r="AB18" s="400">
        <f t="shared" si="25"/>
        <v>0</v>
      </c>
      <c r="AC18" s="21">
        <f t="shared" si="26"/>
        <v>0</v>
      </c>
      <c r="AD18" s="11"/>
      <c r="AE18" s="11"/>
      <c r="AF18" s="146">
        <f>IFERROR(VLOOKUP(A18,'25-26 MFG'!A:D,3,FALSE),0)</f>
        <v>0</v>
      </c>
      <c r="AG18" s="75">
        <f>IFERROR(VLOOKUP(A18,'25-26 MFG'!A:D,4,FALSE),0)</f>
        <v>0</v>
      </c>
      <c r="AH18" s="224">
        <f t="shared" si="27"/>
        <v>0</v>
      </c>
    </row>
    <row r="19" spans="1:34">
      <c r="A19" s="7">
        <v>8502073</v>
      </c>
      <c r="B19" s="142" t="s">
        <v>151</v>
      </c>
      <c r="C19" s="16">
        <f>IFERROR(VLOOKUP(RIGHT($A19,4)*1,'Autumn term 2025'!$AA$6:$AM$57,12,FALSE),0)</f>
        <v>0</v>
      </c>
      <c r="D19" s="16">
        <f>SUMIF(APN!$A$3:$A$97,(RIGHT($A19,4)*1),APN!$K$3:$K$97)</f>
        <v>0</v>
      </c>
      <c r="E19" s="209">
        <f>D19*Values!$J$17</f>
        <v>0</v>
      </c>
      <c r="F19" s="410">
        <f t="shared" si="20"/>
        <v>0</v>
      </c>
      <c r="G19" s="402" cm="1">
        <f t="array" ref="G19">IFERROR(INDEX('Autumn term 2025'!$AB$6:$AM$55,_xlfn.XMATCH(RIGHT(MFG!$A19,4)*1,'Autumn term 2025'!$AA$6:$AA$55),_xlfn.XMATCH(MFG!G$7,'Autumn term 2025'!$AB$5:$AM$5)),0)</f>
        <v>0</v>
      </c>
      <c r="H19" s="403" cm="1">
        <f t="array" ref="H19">IFERROR(INDEX('Autumn term 2025'!$AB$6:$AM$55,_xlfn.XMATCH(RIGHT(MFG!$A19,4)*1,'Autumn term 2025'!$AA$6:$AA$55),_xlfn.XMATCH(MFG!H$7,'Autumn term 2025'!$AB$5:$AM$5)),0)</f>
        <v>0</v>
      </c>
      <c r="I19" s="403" cm="1">
        <f t="array" ref="I19">IFERROR(INDEX('Autumn term 2025'!$AB$6:$AM$55,_xlfn.XMATCH(RIGHT(MFG!$A19,4)*1,'Autumn term 2025'!$AA$6:$AA$55),_xlfn.XMATCH(MFG!I$7,'Autumn term 2025'!$AB$5:$AM$5)),0)</f>
        <v>0</v>
      </c>
      <c r="J19" s="403" cm="1">
        <f t="array" ref="J19">IFERROR(INDEX('Autumn term 2025'!$AB$6:$AM$55,_xlfn.XMATCH(RIGHT(MFG!$A19,4)*1,'Autumn term 2025'!$AA$6:$AA$55),_xlfn.XMATCH(MFG!J$7,'Autumn term 2025'!$AB$5:$AM$5)),0)</f>
        <v>0</v>
      </c>
      <c r="K19" s="403" cm="1">
        <f t="array" ref="K19">IFERROR(INDEX('Autumn term 2025'!$AB$6:$AM$55,_xlfn.XMATCH(RIGHT(MFG!$A19,4)*1,'Autumn term 2025'!$AA$6:$AA$55),_xlfn.XMATCH(MFG!K$7,'Autumn term 2025'!$AB$5:$AM$5)),0)</f>
        <v>0</v>
      </c>
      <c r="L19" s="403" cm="1">
        <f t="array" ref="L19">IFERROR(INDEX('Autumn term 2025'!$AB$6:$AM$55,_xlfn.XMATCH(RIGHT(MFG!$A19,4)*1,'Autumn term 2025'!$AA$6:$AA$55),_xlfn.XMATCH(MFG!L$7,'Autumn term 2025'!$AB$5:$AM$5)),0)</f>
        <v>0</v>
      </c>
      <c r="M19" s="403" cm="1">
        <f t="array" ref="M19">IFERROR(INDEX('Autumn term 2025'!$AB$6:$AM$55,_xlfn.XMATCH(RIGHT(MFG!$A19,4)*1,'Autumn term 2025'!$AA$6:$AA$55),_xlfn.XMATCH(MFG!M$7,'Autumn term 2025'!$AB$5:$AM$5)),0)</f>
        <v>0</v>
      </c>
      <c r="N19" s="403" cm="1">
        <f t="array" ref="N19">IFERROR(INDEX('Autumn term 2025'!$AB$6:$AM$55,_xlfn.XMATCH(RIGHT(MFG!$A19,4)*1,'Autumn term 2025'!$AA$6:$AA$55),_xlfn.XMATCH(MFG!N$7,'Autumn term 2025'!$AB$5:$AM$5)),0)</f>
        <v>0</v>
      </c>
      <c r="O19" s="403" cm="1">
        <f t="array" ref="O19">IFERROR(INDEX('Autumn term 2025'!$AB$6:$AM$55,_xlfn.XMATCH(RIGHT(MFG!$A19,4)*1,'Autumn term 2025'!$AA$6:$AA$55),_xlfn.XMATCH(MFG!O$7,'Autumn term 2025'!$AB$5:$AM$5)),0)</f>
        <v>0</v>
      </c>
      <c r="P19" s="403" cm="1">
        <f t="array" ref="P19">IFERROR(INDEX('Autumn term 2025'!$AB$6:$AM$55,_xlfn.XMATCH(RIGHT(MFG!$A19,4)*1,'Autumn term 2025'!$AA$6:$AA$55),_xlfn.XMATCH(MFG!P$7,'Autumn term 2025'!$AB$5:$AM$5)),0)</f>
        <v>0</v>
      </c>
      <c r="Q19" s="404" cm="1">
        <f t="array" ref="Q19">IFERROR(INDEX('Autumn term 2025'!$AB$6:$AM$55,_xlfn.XMATCH(RIGHT(MFG!$A19,4)*1,'Autumn term 2025'!$AA$6:$AA$55),_xlfn.XMATCH(MFG!Q$7,'Autumn term 2025'!$AB$5:$AM$5)),0)</f>
        <v>0</v>
      </c>
      <c r="R19" s="412">
        <f>IF(VLOOKUP($A19,Data!$A$4:$I$81,9,FALSE)="PRI",G19*$G$2+H19*$H$2+I19*$I$2+J19*$J$2+K19*$K$2+L19*$L$2+M19*$M$2+N19*$N$2+O19*$O$2+P19*$P$2+Q19*$Q$2,G19*$G$3+H19*$H$3+I19*$I$3+J19*$J$3+K19*$K$3+L19*$L$3+M19*$M$3+N19*$N$3+O19*$O$3+P19*$P$3+Q19*$Q$3)</f>
        <v>0</v>
      </c>
      <c r="S19" s="145">
        <f>IF(VLOOKUP($A19,Data!$A$4:$I$81,9,FALSE)="PRI",G19*$G$4+H19*$H$4+I19*$I$4+J19*$J$4+K19*$K$4+L19*$L$4+M19*$M$4+N19*$N$4+O19*$O$4+P19*$P$4+Q19*$Q$4,G19*$G$5+H19*$H$5+I19*$I$5+J19*$J$5+K19*$K$5+L19*$L$5+M19*$M$5+N19*$N$5+O19*$O$5+P19*$P$5+Q19*$Q$5)</f>
        <v>0</v>
      </c>
      <c r="T19" s="229">
        <f>IFERROR(VLOOKUP(RIGHT($A19,4)*1,'Autumn term 2025'!$U$6:$X$16,3,FALSE),0)</f>
        <v>0</v>
      </c>
      <c r="U19" s="230">
        <f>IFERROR(VLOOKUP(RIGHT($A19,4)*1,'Autumn term 2025'!$U$6:$X$16,2,FALSE),0)</f>
        <v>0</v>
      </c>
      <c r="V19" s="231">
        <f>IF(VLOOKUP($A19,Data!$A$3:$I$81,9,FALSE)="Pri",T19*$T$2+U19*$U$2,T19*$T$3+U19*$U$3)</f>
        <v>0</v>
      </c>
      <c r="W19" s="232">
        <f>IF(VLOOKUP($A19,Data!$A$3:$I$81,9,FALSE)="Pri",T19*$T$4+U19*$U$4,T19*$T$5+U19*$U$5)</f>
        <v>0</v>
      </c>
      <c r="X19" s="235">
        <f t="shared" si="21"/>
        <v>0</v>
      </c>
      <c r="Y19" s="399">
        <f t="shared" si="22"/>
        <v>0</v>
      </c>
      <c r="Z19" s="234">
        <f t="shared" si="23"/>
        <v>0</v>
      </c>
      <c r="AA19" s="46">
        <f t="shared" si="24"/>
        <v>0</v>
      </c>
      <c r="AB19" s="400">
        <f t="shared" si="25"/>
        <v>0</v>
      </c>
      <c r="AC19" s="21">
        <f t="shared" si="26"/>
        <v>0</v>
      </c>
      <c r="AD19" s="11"/>
      <c r="AE19" s="11"/>
      <c r="AF19" s="146">
        <f>IFERROR(VLOOKUP(A19,'25-26 MFG'!A:D,3,FALSE),0)</f>
        <v>0</v>
      </c>
      <c r="AG19" s="75">
        <f>IFERROR(VLOOKUP(A19,'25-26 MFG'!A:D,4,FALSE),0)</f>
        <v>0</v>
      </c>
      <c r="AH19" s="224">
        <f t="shared" si="27"/>
        <v>0</v>
      </c>
    </row>
    <row r="20" spans="1:34">
      <c r="A20" s="7">
        <v>8502091</v>
      </c>
      <c r="B20" s="142" t="s">
        <v>152</v>
      </c>
      <c r="C20" s="16">
        <f>IFERROR(VLOOKUP(RIGHT($A20,4)*1,'Autumn term 2025'!$AA$6:$AM$57,12,FALSE),0)</f>
        <v>0</v>
      </c>
      <c r="D20" s="16">
        <f>SUMIF(APN!$A$3:$A$97,(RIGHT($A20,4)*1),APN!$K$3:$K$97)</f>
        <v>0</v>
      </c>
      <c r="E20" s="209">
        <f>D20*Values!$J$17</f>
        <v>0</v>
      </c>
      <c r="F20" s="410">
        <f t="shared" si="20"/>
        <v>0</v>
      </c>
      <c r="G20" s="402" cm="1">
        <f t="array" ref="G20">IFERROR(INDEX('Autumn term 2025'!$AB$6:$AM$55,_xlfn.XMATCH(RIGHT(MFG!$A20,4)*1,'Autumn term 2025'!$AA$6:$AA$55),_xlfn.XMATCH(MFG!G$7,'Autumn term 2025'!$AB$5:$AM$5)),0)</f>
        <v>0</v>
      </c>
      <c r="H20" s="403" cm="1">
        <f t="array" ref="H20">IFERROR(INDEX('Autumn term 2025'!$AB$6:$AM$55,_xlfn.XMATCH(RIGHT(MFG!$A20,4)*1,'Autumn term 2025'!$AA$6:$AA$55),_xlfn.XMATCH(MFG!H$7,'Autumn term 2025'!$AB$5:$AM$5)),0)</f>
        <v>0</v>
      </c>
      <c r="I20" s="403" cm="1">
        <f t="array" ref="I20">IFERROR(INDEX('Autumn term 2025'!$AB$6:$AM$55,_xlfn.XMATCH(RIGHT(MFG!$A20,4)*1,'Autumn term 2025'!$AA$6:$AA$55),_xlfn.XMATCH(MFG!I$7,'Autumn term 2025'!$AB$5:$AM$5)),0)</f>
        <v>0</v>
      </c>
      <c r="J20" s="403" cm="1">
        <f t="array" ref="J20">IFERROR(INDEX('Autumn term 2025'!$AB$6:$AM$55,_xlfn.XMATCH(RIGHT(MFG!$A20,4)*1,'Autumn term 2025'!$AA$6:$AA$55),_xlfn.XMATCH(MFG!J$7,'Autumn term 2025'!$AB$5:$AM$5)),0)</f>
        <v>0</v>
      </c>
      <c r="K20" s="403" cm="1">
        <f t="array" ref="K20">IFERROR(INDEX('Autumn term 2025'!$AB$6:$AM$55,_xlfn.XMATCH(RIGHT(MFG!$A20,4)*1,'Autumn term 2025'!$AA$6:$AA$55),_xlfn.XMATCH(MFG!K$7,'Autumn term 2025'!$AB$5:$AM$5)),0)</f>
        <v>0</v>
      </c>
      <c r="L20" s="403" cm="1">
        <f t="array" ref="L20">IFERROR(INDEX('Autumn term 2025'!$AB$6:$AM$55,_xlfn.XMATCH(RIGHT(MFG!$A20,4)*1,'Autumn term 2025'!$AA$6:$AA$55),_xlfn.XMATCH(MFG!L$7,'Autumn term 2025'!$AB$5:$AM$5)),0)</f>
        <v>0</v>
      </c>
      <c r="M20" s="403" cm="1">
        <f t="array" ref="M20">IFERROR(INDEX('Autumn term 2025'!$AB$6:$AM$55,_xlfn.XMATCH(RIGHT(MFG!$A20,4)*1,'Autumn term 2025'!$AA$6:$AA$55),_xlfn.XMATCH(MFG!M$7,'Autumn term 2025'!$AB$5:$AM$5)),0)</f>
        <v>0</v>
      </c>
      <c r="N20" s="403" cm="1">
        <f t="array" ref="N20">IFERROR(INDEX('Autumn term 2025'!$AB$6:$AM$55,_xlfn.XMATCH(RIGHT(MFG!$A20,4)*1,'Autumn term 2025'!$AA$6:$AA$55),_xlfn.XMATCH(MFG!N$7,'Autumn term 2025'!$AB$5:$AM$5)),0)</f>
        <v>0</v>
      </c>
      <c r="O20" s="403" cm="1">
        <f t="array" ref="O20">IFERROR(INDEX('Autumn term 2025'!$AB$6:$AM$55,_xlfn.XMATCH(RIGHT(MFG!$A20,4)*1,'Autumn term 2025'!$AA$6:$AA$55),_xlfn.XMATCH(MFG!O$7,'Autumn term 2025'!$AB$5:$AM$5)),0)</f>
        <v>0</v>
      </c>
      <c r="P20" s="403" cm="1">
        <f t="array" ref="P20">IFERROR(INDEX('Autumn term 2025'!$AB$6:$AM$55,_xlfn.XMATCH(RIGHT(MFG!$A20,4)*1,'Autumn term 2025'!$AA$6:$AA$55),_xlfn.XMATCH(MFG!P$7,'Autumn term 2025'!$AB$5:$AM$5)),0)</f>
        <v>0</v>
      </c>
      <c r="Q20" s="404" cm="1">
        <f t="array" ref="Q20">IFERROR(INDEX('Autumn term 2025'!$AB$6:$AM$55,_xlfn.XMATCH(RIGHT(MFG!$A20,4)*1,'Autumn term 2025'!$AA$6:$AA$55),_xlfn.XMATCH(MFG!Q$7,'Autumn term 2025'!$AB$5:$AM$5)),0)</f>
        <v>0</v>
      </c>
      <c r="R20" s="412">
        <f>IF(VLOOKUP($A20,Data!$A$4:$I$81,9,FALSE)="PRI",G20*$G$2+H20*$H$2+I20*$I$2+J20*$J$2+K20*$K$2+L20*$L$2+M20*$M$2+N20*$N$2+O20*$O$2+P20*$P$2+Q20*$Q$2,G20*$G$3+H20*$H$3+I20*$I$3+J20*$J$3+K20*$K$3+L20*$L$3+M20*$M$3+N20*$N$3+O20*$O$3+P20*$P$3+Q20*$Q$3)</f>
        <v>0</v>
      </c>
      <c r="S20" s="145">
        <f>IF(VLOOKUP($A20,Data!$A$4:$I$81,9,FALSE)="PRI",G20*$G$4+H20*$H$4+I20*$I$4+J20*$J$4+K20*$K$4+L20*$L$4+M20*$M$4+N20*$N$4+O20*$O$4+P20*$P$4+Q20*$Q$4,G20*$G$5+H20*$H$5+I20*$I$5+J20*$J$5+K20*$K$5+L20*$L$5+M20*$M$5+N20*$N$5+O20*$O$5+P20*$P$5+Q20*$Q$5)</f>
        <v>0</v>
      </c>
      <c r="T20" s="229">
        <f>IFERROR(VLOOKUP(RIGHT($A20,4)*1,'Autumn term 2025'!$U$6:$X$16,3,FALSE),0)</f>
        <v>0</v>
      </c>
      <c r="U20" s="230">
        <f>IFERROR(VLOOKUP(RIGHT($A20,4)*1,'Autumn term 2025'!$U$6:$X$16,2,FALSE),0)</f>
        <v>0</v>
      </c>
      <c r="V20" s="231">
        <f>IF(VLOOKUP($A20,Data!$A$3:$I$81,9,FALSE)="Pri",T20*$T$2+U20*$U$2,T20*$T$3+U20*$U$3)</f>
        <v>0</v>
      </c>
      <c r="W20" s="232">
        <f>IF(VLOOKUP($A20,Data!$A$3:$I$81,9,FALSE)="Pri",T20*$T$4+U20*$U$4,T20*$T$5+U20*$U$5)</f>
        <v>0</v>
      </c>
      <c r="X20" s="235">
        <f t="shared" si="21"/>
        <v>0</v>
      </c>
      <c r="Y20" s="399">
        <f t="shared" si="22"/>
        <v>0</v>
      </c>
      <c r="Z20" s="234">
        <f t="shared" si="23"/>
        <v>0</v>
      </c>
      <c r="AA20" s="46">
        <f t="shared" si="24"/>
        <v>0</v>
      </c>
      <c r="AB20" s="400">
        <f t="shared" si="25"/>
        <v>0</v>
      </c>
      <c r="AC20" s="21">
        <f t="shared" si="26"/>
        <v>0</v>
      </c>
      <c r="AD20" s="11"/>
      <c r="AE20" s="11"/>
      <c r="AF20" s="146">
        <f>IFERROR(VLOOKUP(A20,'25-26 MFG'!A:D,3,FALSE),0)</f>
        <v>0</v>
      </c>
      <c r="AG20" s="75">
        <f>IFERROR(VLOOKUP(A20,'25-26 MFG'!A:D,4,FALSE),0)</f>
        <v>0</v>
      </c>
      <c r="AH20" s="224">
        <f t="shared" si="27"/>
        <v>0</v>
      </c>
    </row>
    <row r="21" spans="1:34">
      <c r="A21" s="7">
        <v>8502103</v>
      </c>
      <c r="B21" s="142" t="s">
        <v>8</v>
      </c>
      <c r="C21" s="16">
        <f>IFERROR(VLOOKUP(RIGHT($A21,4)*1,'Autumn term 2025'!$AA$6:$AM$57,12,FALSE),0)</f>
        <v>8</v>
      </c>
      <c r="D21" s="16">
        <f>SUMIF(APN!$A$3:$A$97,(RIGHT($A21,4)*1),APN!$K$3:$K$97)</f>
        <v>8</v>
      </c>
      <c r="E21" s="209">
        <f>D21*Values!$J$17</f>
        <v>48000</v>
      </c>
      <c r="F21" s="410">
        <f t="shared" si="20"/>
        <v>48000</v>
      </c>
      <c r="G21" s="402" cm="1">
        <f t="array" ref="G21">IFERROR(INDEX('Autumn term 2025'!$AB$6:$AM$55,_xlfn.XMATCH(RIGHT(MFG!$A21,4)*1,'Autumn term 2025'!$AA$6:$AA$55),_xlfn.XMATCH(MFG!G$7,'Autumn term 2025'!$AB$5:$AM$5)),0)</f>
        <v>0</v>
      </c>
      <c r="H21" s="403" cm="1">
        <f t="array" ref="H21">IFERROR(INDEX('Autumn term 2025'!$AB$6:$AM$55,_xlfn.XMATCH(RIGHT(MFG!$A21,4)*1,'Autumn term 2025'!$AA$6:$AA$55),_xlfn.XMATCH(MFG!H$7,'Autumn term 2025'!$AB$5:$AM$5)),0)</f>
        <v>0</v>
      </c>
      <c r="I21" s="403" cm="1">
        <f t="array" ref="I21">IFERROR(INDEX('Autumn term 2025'!$AB$6:$AM$55,_xlfn.XMATCH(RIGHT(MFG!$A21,4)*1,'Autumn term 2025'!$AA$6:$AA$55),_xlfn.XMATCH(MFG!I$7,'Autumn term 2025'!$AB$5:$AM$5)),0)</f>
        <v>0</v>
      </c>
      <c r="J21" s="403" cm="1">
        <f t="array" ref="J21">IFERROR(INDEX('Autumn term 2025'!$AB$6:$AM$55,_xlfn.XMATCH(RIGHT(MFG!$A21,4)*1,'Autumn term 2025'!$AA$6:$AA$55),_xlfn.XMATCH(MFG!J$7,'Autumn term 2025'!$AB$5:$AM$5)),0)</f>
        <v>0</v>
      </c>
      <c r="K21" s="403" cm="1">
        <f t="array" ref="K21">IFERROR(INDEX('Autumn term 2025'!$AB$6:$AM$55,_xlfn.XMATCH(RIGHT(MFG!$A21,4)*1,'Autumn term 2025'!$AA$6:$AA$55),_xlfn.XMATCH(MFG!K$7,'Autumn term 2025'!$AB$5:$AM$5)),0)</f>
        <v>0</v>
      </c>
      <c r="L21" s="403" cm="1">
        <f t="array" ref="L21">IFERROR(INDEX('Autumn term 2025'!$AB$6:$AM$55,_xlfn.XMATCH(RIGHT(MFG!$A21,4)*1,'Autumn term 2025'!$AA$6:$AA$55),_xlfn.XMATCH(MFG!L$7,'Autumn term 2025'!$AB$5:$AM$5)),0)</f>
        <v>0</v>
      </c>
      <c r="M21" s="403" cm="1">
        <f t="array" ref="M21">IFERROR(INDEX('Autumn term 2025'!$AB$6:$AM$55,_xlfn.XMATCH(RIGHT(MFG!$A21,4)*1,'Autumn term 2025'!$AA$6:$AA$55),_xlfn.XMATCH(MFG!M$7,'Autumn term 2025'!$AB$5:$AM$5)),0)</f>
        <v>8</v>
      </c>
      <c r="N21" s="403" cm="1">
        <f t="array" ref="N21">IFERROR(INDEX('Autumn term 2025'!$AB$6:$AM$55,_xlfn.XMATCH(RIGHT(MFG!$A21,4)*1,'Autumn term 2025'!$AA$6:$AA$55),_xlfn.XMATCH(MFG!N$7,'Autumn term 2025'!$AB$5:$AM$5)),0)</f>
        <v>0</v>
      </c>
      <c r="O21" s="403" cm="1">
        <f t="array" ref="O21">IFERROR(INDEX('Autumn term 2025'!$AB$6:$AM$55,_xlfn.XMATCH(RIGHT(MFG!$A21,4)*1,'Autumn term 2025'!$AA$6:$AA$55),_xlfn.XMATCH(MFG!O$7,'Autumn term 2025'!$AB$5:$AM$5)),0)</f>
        <v>0</v>
      </c>
      <c r="P21" s="403" cm="1">
        <f t="array" ref="P21">IFERROR(INDEX('Autumn term 2025'!$AB$6:$AM$55,_xlfn.XMATCH(RIGHT(MFG!$A21,4)*1,'Autumn term 2025'!$AA$6:$AA$55),_xlfn.XMATCH(MFG!P$7,'Autumn term 2025'!$AB$5:$AM$5)),0)</f>
        <v>0</v>
      </c>
      <c r="Q21" s="404" cm="1">
        <f t="array" ref="Q21">IFERROR(INDEX('Autumn term 2025'!$AB$6:$AM$55,_xlfn.XMATCH(RIGHT(MFG!$A21,4)*1,'Autumn term 2025'!$AA$6:$AA$55),_xlfn.XMATCH(MFG!Q$7,'Autumn term 2025'!$AB$5:$AM$5)),0)</f>
        <v>0</v>
      </c>
      <c r="R21" s="412">
        <f>IF(VLOOKUP($A21,Data!$A$4:$I$81,9,FALSE)="PRI",G21*$G$2+H21*$H$2+I21*$I$2+J21*$J$2+K21*$K$2+L21*$L$2+M21*$M$2+N21*$N$2+O21*$O$2+P21*$P$2+Q21*$Q$2,G21*$G$3+H21*$H$3+I21*$I$3+J21*$J$3+K21*$K$3+L21*$L$3+M21*$M$3+N21*$N$3+O21*$O$3+P21*$P$3+Q21*$Q$3)</f>
        <v>99600</v>
      </c>
      <c r="S21" s="145">
        <f>IF(VLOOKUP($A21,Data!$A$4:$I$81,9,FALSE)="PRI",G21*$G$4+H21*$H$4+I21*$I$4+J21*$J$4+K21*$K$4+L21*$L$4+M21*$M$4+N21*$N$4+O21*$O$4+P21*$P$4+Q21*$Q$4,G21*$G$5+H21*$H$5+I21*$I$5+J21*$J$5+K21*$K$5+L21*$L$5+M21*$M$5+N21*$N$5+O21*$O$5+P21*$P$5+Q21*$Q$5)</f>
        <v>102704</v>
      </c>
      <c r="T21" s="229">
        <f>IFERROR(VLOOKUP(RIGHT($A21,4)*1,'Autumn term 2025'!$U$6:$X$16,3,FALSE),0)</f>
        <v>0</v>
      </c>
      <c r="U21" s="230">
        <f>IFERROR(VLOOKUP(RIGHT($A21,4)*1,'Autumn term 2025'!$U$6:$X$16,2,FALSE),0)</f>
        <v>0</v>
      </c>
      <c r="V21" s="231">
        <f>IF(VLOOKUP($A21,Data!$A$3:$I$81,9,FALSE)="Pri",T21*$T$2+U21*$U$2,T21*$T$3+U21*$U$3)</f>
        <v>0</v>
      </c>
      <c r="W21" s="232">
        <f>IF(VLOOKUP($A21,Data!$A$3:$I$81,9,FALSE)="Pri",T21*$T$4+U21*$U$4,T21*$T$5+U21*$U$5)</f>
        <v>0</v>
      </c>
      <c r="X21" s="235">
        <f t="shared" si="21"/>
        <v>0</v>
      </c>
      <c r="Y21" s="399">
        <f t="shared" si="22"/>
        <v>147600</v>
      </c>
      <c r="Z21" s="234">
        <f t="shared" si="23"/>
        <v>147600</v>
      </c>
      <c r="AA21" s="46">
        <f t="shared" si="24"/>
        <v>150704</v>
      </c>
      <c r="AB21" s="400">
        <f t="shared" si="25"/>
        <v>0</v>
      </c>
      <c r="AC21" s="21">
        <f t="shared" si="26"/>
        <v>0</v>
      </c>
      <c r="AD21" s="11"/>
      <c r="AE21" s="11"/>
      <c r="AF21" s="146">
        <f>IFERROR(VLOOKUP(A21,'25-26 MFG'!A:D,3,FALSE),0)</f>
        <v>0</v>
      </c>
      <c r="AG21" s="75">
        <f>IFERROR(VLOOKUP(A21,'25-26 MFG'!A:D,4,FALSE),0)</f>
        <v>0</v>
      </c>
      <c r="AH21" s="224">
        <f t="shared" si="27"/>
        <v>0</v>
      </c>
    </row>
    <row r="22" spans="1:34">
      <c r="A22" s="7">
        <v>8502111</v>
      </c>
      <c r="B22" s="142" t="s">
        <v>9</v>
      </c>
      <c r="C22" s="16">
        <f>IFERROR(VLOOKUP(RIGHT($A22,4)*1,'Autumn term 2025'!$AA$6:$AM$57,12,FALSE),0)</f>
        <v>19</v>
      </c>
      <c r="D22" s="16">
        <f>SUMIF(APN!$A$3:$A$97,(RIGHT($A22,4)*1),APN!$K$3:$K$97)</f>
        <v>16</v>
      </c>
      <c r="E22" s="209">
        <f>D22*Values!$J$17</f>
        <v>96000</v>
      </c>
      <c r="F22" s="410">
        <f t="shared" si="20"/>
        <v>96000</v>
      </c>
      <c r="G22" s="402" cm="1">
        <f t="array" ref="G22">IFERROR(INDEX('Autumn term 2025'!$AB$6:$AM$55,_xlfn.XMATCH(RIGHT(MFG!$A22,4)*1,'Autumn term 2025'!$AA$6:$AA$55),_xlfn.XMATCH(MFG!G$7,'Autumn term 2025'!$AB$5:$AM$5)),0)</f>
        <v>12</v>
      </c>
      <c r="H22" s="403" cm="1">
        <f t="array" ref="H22">IFERROR(INDEX('Autumn term 2025'!$AB$6:$AM$55,_xlfn.XMATCH(RIGHT(MFG!$A22,4)*1,'Autumn term 2025'!$AA$6:$AA$55),_xlfn.XMATCH(MFG!H$7,'Autumn term 2025'!$AB$5:$AM$5)),0)</f>
        <v>0</v>
      </c>
      <c r="I22" s="403" cm="1">
        <f t="array" ref="I22">IFERROR(INDEX('Autumn term 2025'!$AB$6:$AM$55,_xlfn.XMATCH(RIGHT(MFG!$A22,4)*1,'Autumn term 2025'!$AA$6:$AA$55),_xlfn.XMATCH(MFG!I$7,'Autumn term 2025'!$AB$5:$AM$5)),0)</f>
        <v>0</v>
      </c>
      <c r="J22" s="403" cm="1">
        <f t="array" ref="J22">IFERROR(INDEX('Autumn term 2025'!$AB$6:$AM$55,_xlfn.XMATCH(RIGHT(MFG!$A22,4)*1,'Autumn term 2025'!$AA$6:$AA$55),_xlfn.XMATCH(MFG!J$7,'Autumn term 2025'!$AB$5:$AM$5)),0)</f>
        <v>0</v>
      </c>
      <c r="K22" s="403" cm="1">
        <f t="array" ref="K22">IFERROR(INDEX('Autumn term 2025'!$AB$6:$AM$55,_xlfn.XMATCH(RIGHT(MFG!$A22,4)*1,'Autumn term 2025'!$AA$6:$AA$55),_xlfn.XMATCH(MFG!K$7,'Autumn term 2025'!$AB$5:$AM$5)),0)</f>
        <v>0</v>
      </c>
      <c r="L22" s="403" cm="1">
        <f t="array" ref="L22">IFERROR(INDEX('Autumn term 2025'!$AB$6:$AM$55,_xlfn.XMATCH(RIGHT(MFG!$A22,4)*1,'Autumn term 2025'!$AA$6:$AA$55),_xlfn.XMATCH(MFG!L$7,'Autumn term 2025'!$AB$5:$AM$5)),0)</f>
        <v>0</v>
      </c>
      <c r="M22" s="403" cm="1">
        <f t="array" ref="M22">IFERROR(INDEX('Autumn term 2025'!$AB$6:$AM$55,_xlfn.XMATCH(RIGHT(MFG!$A22,4)*1,'Autumn term 2025'!$AA$6:$AA$55),_xlfn.XMATCH(MFG!M$7,'Autumn term 2025'!$AB$5:$AM$5)),0)</f>
        <v>0</v>
      </c>
      <c r="N22" s="403" cm="1">
        <f t="array" ref="N22">IFERROR(INDEX('Autumn term 2025'!$AB$6:$AM$55,_xlfn.XMATCH(RIGHT(MFG!$A22,4)*1,'Autumn term 2025'!$AA$6:$AA$55),_xlfn.XMATCH(MFG!N$7,'Autumn term 2025'!$AB$5:$AM$5)),0)</f>
        <v>0</v>
      </c>
      <c r="O22" s="403" cm="1">
        <f t="array" ref="O22">IFERROR(INDEX('Autumn term 2025'!$AB$6:$AM$55,_xlfn.XMATCH(RIGHT(MFG!$A22,4)*1,'Autumn term 2025'!$AA$6:$AA$55),_xlfn.XMATCH(MFG!O$7,'Autumn term 2025'!$AB$5:$AM$5)),0)</f>
        <v>7</v>
      </c>
      <c r="P22" s="403" cm="1">
        <f t="array" ref="P22">IFERROR(INDEX('Autumn term 2025'!$AB$6:$AM$55,_xlfn.XMATCH(RIGHT(MFG!$A22,4)*1,'Autumn term 2025'!$AA$6:$AA$55),_xlfn.XMATCH(MFG!P$7,'Autumn term 2025'!$AB$5:$AM$5)),0)</f>
        <v>0</v>
      </c>
      <c r="Q22" s="404" cm="1">
        <f t="array" ref="Q22">IFERROR(INDEX('Autumn term 2025'!$AB$6:$AM$55,_xlfn.XMATCH(RIGHT(MFG!$A22,4)*1,'Autumn term 2025'!$AA$6:$AA$55),_xlfn.XMATCH(MFG!Q$7,'Autumn term 2025'!$AB$5:$AM$5)),0)</f>
        <v>0</v>
      </c>
      <c r="R22" s="412">
        <f>IF(VLOOKUP($A22,Data!$A$4:$I$81,9,FALSE)="PRI",G22*$G$2+H22*$H$2+I22*$I$2+J22*$J$2+K22*$K$2+L22*$L$2+M22*$M$2+N22*$N$2+O22*$O$2+P22*$P$2+Q22*$Q$2,G22*$G$3+H22*$H$3+I22*$I$3+J22*$J$3+K22*$K$3+L22*$L$3+M22*$M$3+N22*$N$3+O22*$O$3+P22*$P$3+Q22*$Q$3)</f>
        <v>147685</v>
      </c>
      <c r="S22" s="145">
        <f>IF(VLOOKUP($A22,Data!$A$4:$I$81,9,FALSE)="PRI",G22*$G$4+H22*$H$4+I22*$I$4+J22*$J$4+K22*$K$4+L22*$L$4+M22*$M$4+N22*$N$4+O22*$O$4+P22*$P$4+Q22*$Q$4,G22*$G$5+H22*$H$5+I22*$I$5+J22*$J$5+K22*$K$5+L22*$L$5+M22*$M$5+N22*$N$5+O22*$O$5+P22*$P$5+Q22*$Q$5)</f>
        <v>153183</v>
      </c>
      <c r="T22" s="229">
        <f>IFERROR(VLOOKUP(RIGHT($A22,4)*1,'Autumn term 2025'!$U$6:$X$16,3,FALSE),0)</f>
        <v>0</v>
      </c>
      <c r="U22" s="230">
        <f>IFERROR(VLOOKUP(RIGHT($A22,4)*1,'Autumn term 2025'!$U$6:$X$16,2,FALSE),0)</f>
        <v>0</v>
      </c>
      <c r="V22" s="231">
        <f>IF(VLOOKUP($A22,Data!$A$3:$I$81,9,FALSE)="Pri",T22*$T$2+U22*$U$2,T22*$T$3+U22*$U$3)</f>
        <v>0</v>
      </c>
      <c r="W22" s="232">
        <f>IF(VLOOKUP($A22,Data!$A$3:$I$81,9,FALSE)="Pri",T22*$T$4+U22*$U$4,T22*$T$5+U22*$U$5)</f>
        <v>0</v>
      </c>
      <c r="X22" s="235">
        <f t="shared" si="21"/>
        <v>0</v>
      </c>
      <c r="Y22" s="399">
        <f t="shared" si="22"/>
        <v>243685</v>
      </c>
      <c r="Z22" s="234">
        <f t="shared" si="23"/>
        <v>243685</v>
      </c>
      <c r="AA22" s="46">
        <f t="shared" si="24"/>
        <v>249183</v>
      </c>
      <c r="AB22" s="400">
        <f t="shared" si="25"/>
        <v>0</v>
      </c>
      <c r="AC22" s="21">
        <f t="shared" si="26"/>
        <v>0</v>
      </c>
      <c r="AD22" s="11"/>
      <c r="AE22" s="11"/>
      <c r="AF22" s="146">
        <f>IFERROR(VLOOKUP(A22,'25-26 MFG'!A:D,3,FALSE),0)</f>
        <v>0</v>
      </c>
      <c r="AG22" s="75">
        <f>IFERROR(VLOOKUP(A22,'25-26 MFG'!A:D,4,FALSE),0)</f>
        <v>0</v>
      </c>
      <c r="AH22" s="224">
        <f t="shared" si="27"/>
        <v>0</v>
      </c>
    </row>
    <row r="23" spans="1:34">
      <c r="A23" s="7">
        <v>8502127</v>
      </c>
      <c r="B23" s="142" t="s">
        <v>11</v>
      </c>
      <c r="C23" s="16">
        <f>IFERROR(VLOOKUP(RIGHT($A23,4)*1,'Autumn term 2025'!$AA$6:$AM$57,12,FALSE),0)</f>
        <v>9</v>
      </c>
      <c r="D23" s="16">
        <f>SUMIF(APN!$A$3:$A$97,(RIGHT($A23,4)*1),APN!$K$3:$K$97)</f>
        <v>12</v>
      </c>
      <c r="E23" s="209">
        <f>D23*Values!$J$17</f>
        <v>72000</v>
      </c>
      <c r="F23" s="410">
        <f t="shared" si="20"/>
        <v>72000</v>
      </c>
      <c r="G23" s="402" cm="1">
        <f t="array" ref="G23">IFERROR(INDEX('Autumn term 2025'!$AB$6:$AM$55,_xlfn.XMATCH(RIGHT(MFG!$A23,4)*1,'Autumn term 2025'!$AA$6:$AA$55),_xlfn.XMATCH(MFG!G$7,'Autumn term 2025'!$AB$5:$AM$5)),0)</f>
        <v>0</v>
      </c>
      <c r="H23" s="403" cm="1">
        <f t="array" ref="H23">IFERROR(INDEX('Autumn term 2025'!$AB$6:$AM$55,_xlfn.XMATCH(RIGHT(MFG!$A23,4)*1,'Autumn term 2025'!$AA$6:$AA$55),_xlfn.XMATCH(MFG!H$7,'Autumn term 2025'!$AB$5:$AM$5)),0)</f>
        <v>0</v>
      </c>
      <c r="I23" s="403" cm="1">
        <f t="array" ref="I23">IFERROR(INDEX('Autumn term 2025'!$AB$6:$AM$55,_xlfn.XMATCH(RIGHT(MFG!$A23,4)*1,'Autumn term 2025'!$AA$6:$AA$55),_xlfn.XMATCH(MFG!I$7,'Autumn term 2025'!$AB$5:$AM$5)),0)</f>
        <v>9</v>
      </c>
      <c r="J23" s="403" cm="1">
        <f t="array" ref="J23">IFERROR(INDEX('Autumn term 2025'!$AB$6:$AM$55,_xlfn.XMATCH(RIGHT(MFG!$A23,4)*1,'Autumn term 2025'!$AA$6:$AA$55),_xlfn.XMATCH(MFG!J$7,'Autumn term 2025'!$AB$5:$AM$5)),0)</f>
        <v>0</v>
      </c>
      <c r="K23" s="403" cm="1">
        <f t="array" ref="K23">IFERROR(INDEX('Autumn term 2025'!$AB$6:$AM$55,_xlfn.XMATCH(RIGHT(MFG!$A23,4)*1,'Autumn term 2025'!$AA$6:$AA$55),_xlfn.XMATCH(MFG!K$7,'Autumn term 2025'!$AB$5:$AM$5)),0)</f>
        <v>0</v>
      </c>
      <c r="L23" s="403" cm="1">
        <f t="array" ref="L23">IFERROR(INDEX('Autumn term 2025'!$AB$6:$AM$55,_xlfn.XMATCH(RIGHT(MFG!$A23,4)*1,'Autumn term 2025'!$AA$6:$AA$55),_xlfn.XMATCH(MFG!L$7,'Autumn term 2025'!$AB$5:$AM$5)),0)</f>
        <v>0</v>
      </c>
      <c r="M23" s="403" cm="1">
        <f t="array" ref="M23">IFERROR(INDEX('Autumn term 2025'!$AB$6:$AM$55,_xlfn.XMATCH(RIGHT(MFG!$A23,4)*1,'Autumn term 2025'!$AA$6:$AA$55),_xlfn.XMATCH(MFG!M$7,'Autumn term 2025'!$AB$5:$AM$5)),0)</f>
        <v>0</v>
      </c>
      <c r="N23" s="403" cm="1">
        <f t="array" ref="N23">IFERROR(INDEX('Autumn term 2025'!$AB$6:$AM$55,_xlfn.XMATCH(RIGHT(MFG!$A23,4)*1,'Autumn term 2025'!$AA$6:$AA$55),_xlfn.XMATCH(MFG!N$7,'Autumn term 2025'!$AB$5:$AM$5)),0)</f>
        <v>0</v>
      </c>
      <c r="O23" s="403" cm="1">
        <f t="array" ref="O23">IFERROR(INDEX('Autumn term 2025'!$AB$6:$AM$55,_xlfn.XMATCH(RIGHT(MFG!$A23,4)*1,'Autumn term 2025'!$AA$6:$AA$55),_xlfn.XMATCH(MFG!O$7,'Autumn term 2025'!$AB$5:$AM$5)),0)</f>
        <v>0</v>
      </c>
      <c r="P23" s="403" cm="1">
        <f t="array" ref="P23">IFERROR(INDEX('Autumn term 2025'!$AB$6:$AM$55,_xlfn.XMATCH(RIGHT(MFG!$A23,4)*1,'Autumn term 2025'!$AA$6:$AA$55),_xlfn.XMATCH(MFG!P$7,'Autumn term 2025'!$AB$5:$AM$5)),0)</f>
        <v>0</v>
      </c>
      <c r="Q23" s="404" cm="1">
        <f t="array" ref="Q23">IFERROR(INDEX('Autumn term 2025'!$AB$6:$AM$55,_xlfn.XMATCH(RIGHT(MFG!$A23,4)*1,'Autumn term 2025'!$AA$6:$AA$55),_xlfn.XMATCH(MFG!Q$7,'Autumn term 2025'!$AB$5:$AM$5)),0)</f>
        <v>0</v>
      </c>
      <c r="R23" s="412">
        <f>IF(VLOOKUP($A23,Data!$A$4:$I$81,9,FALSE)="PRI",G23*$G$2+H23*$H$2+I23*$I$2+J23*$J$2+K23*$K$2+L23*$L$2+M23*$M$2+N23*$N$2+O23*$O$2+P23*$P$2+Q23*$Q$2,G23*$G$3+H23*$H$3+I23*$I$3+J23*$J$3+K23*$K$3+L23*$L$3+M23*$M$3+N23*$N$3+O23*$O$3+P23*$P$3+Q23*$Q$3)</f>
        <v>12411</v>
      </c>
      <c r="S23" s="145">
        <f>IF(VLOOKUP($A23,Data!$A$4:$I$81,9,FALSE)="PRI",G23*$G$4+H23*$H$4+I23*$I$4+J23*$J$4+K23*$K$4+L23*$L$4+M23*$M$4+N23*$N$4+O23*$O$4+P23*$P$4+Q23*$Q$4,G23*$G$5+H23*$H$5+I23*$I$5+J23*$J$5+K23*$K$5+L23*$L$5+M23*$M$5+N23*$N$5+O23*$O$5+P23*$P$5+Q23*$Q$5)</f>
        <v>13806</v>
      </c>
      <c r="T23" s="229">
        <f>IFERROR(VLOOKUP(RIGHT($A23,4)*1,'Autumn term 2025'!$U$6:$X$16,3,FALSE),0)</f>
        <v>0</v>
      </c>
      <c r="U23" s="230">
        <f>IFERROR(VLOOKUP(RIGHT($A23,4)*1,'Autumn term 2025'!$U$6:$X$16,2,FALSE),0)</f>
        <v>0</v>
      </c>
      <c r="V23" s="231">
        <f>IF(VLOOKUP($A23,Data!$A$3:$I$81,9,FALSE)="Pri",T23*$T$2+U23*$U$2,T23*$T$3+U23*$U$3)</f>
        <v>0</v>
      </c>
      <c r="W23" s="232">
        <f>IF(VLOOKUP($A23,Data!$A$3:$I$81,9,FALSE)="Pri",T23*$T$4+U23*$U$4,T23*$T$5+U23*$U$5)</f>
        <v>0</v>
      </c>
      <c r="X23" s="235">
        <f t="shared" si="21"/>
        <v>0</v>
      </c>
      <c r="Y23" s="399">
        <f t="shared" si="22"/>
        <v>84411</v>
      </c>
      <c r="Z23" s="234">
        <f t="shared" si="23"/>
        <v>84411</v>
      </c>
      <c r="AA23" s="46">
        <f t="shared" si="24"/>
        <v>85806</v>
      </c>
      <c r="AB23" s="400">
        <f t="shared" si="25"/>
        <v>0</v>
      </c>
      <c r="AC23" s="21">
        <f t="shared" si="26"/>
        <v>0</v>
      </c>
      <c r="AD23" s="11"/>
      <c r="AE23" s="11"/>
      <c r="AF23" s="146">
        <f>IFERROR(VLOOKUP(A23,'25-26 MFG'!A:D,3,FALSE),0)</f>
        <v>0</v>
      </c>
      <c r="AG23" s="75">
        <f>IFERROR(VLOOKUP(A23,'25-26 MFG'!A:D,4,FALSE),0)</f>
        <v>0</v>
      </c>
      <c r="AH23" s="224">
        <f t="shared" si="27"/>
        <v>0</v>
      </c>
    </row>
    <row r="24" spans="1:34">
      <c r="A24" s="7">
        <v>8502190</v>
      </c>
      <c r="B24" s="142" t="s">
        <v>153</v>
      </c>
      <c r="C24" s="16">
        <f>IFERROR(VLOOKUP(RIGHT($A24,4)*1,'Autumn term 2025'!$AA$6:$AM$57,12,FALSE),0)</f>
        <v>0</v>
      </c>
      <c r="D24" s="16">
        <f>SUMIF(APN!$A$3:$A$97,(RIGHT($A24,4)*1),APN!$K$3:$K$97)</f>
        <v>0</v>
      </c>
      <c r="E24" s="209">
        <f>D24*Values!$J$17</f>
        <v>0</v>
      </c>
      <c r="F24" s="410">
        <f t="shared" si="20"/>
        <v>0</v>
      </c>
      <c r="G24" s="402" cm="1">
        <f t="array" ref="G24">IFERROR(INDEX('Autumn term 2025'!$AB$6:$AM$55,_xlfn.XMATCH(RIGHT(MFG!$A24,4)*1,'Autumn term 2025'!$AA$6:$AA$55),_xlfn.XMATCH(MFG!G$7,'Autumn term 2025'!$AB$5:$AM$5)),0)</f>
        <v>0</v>
      </c>
      <c r="H24" s="403" cm="1">
        <f t="array" ref="H24">IFERROR(INDEX('Autumn term 2025'!$AB$6:$AM$55,_xlfn.XMATCH(RIGHT(MFG!$A24,4)*1,'Autumn term 2025'!$AA$6:$AA$55),_xlfn.XMATCH(MFG!H$7,'Autumn term 2025'!$AB$5:$AM$5)),0)</f>
        <v>0</v>
      </c>
      <c r="I24" s="403" cm="1">
        <f t="array" ref="I24">IFERROR(INDEX('Autumn term 2025'!$AB$6:$AM$55,_xlfn.XMATCH(RIGHT(MFG!$A24,4)*1,'Autumn term 2025'!$AA$6:$AA$55),_xlfn.XMATCH(MFG!I$7,'Autumn term 2025'!$AB$5:$AM$5)),0)</f>
        <v>0</v>
      </c>
      <c r="J24" s="403" cm="1">
        <f t="array" ref="J24">IFERROR(INDEX('Autumn term 2025'!$AB$6:$AM$55,_xlfn.XMATCH(RIGHT(MFG!$A24,4)*1,'Autumn term 2025'!$AA$6:$AA$55),_xlfn.XMATCH(MFG!J$7,'Autumn term 2025'!$AB$5:$AM$5)),0)</f>
        <v>0</v>
      </c>
      <c r="K24" s="403" cm="1">
        <f t="array" ref="K24">IFERROR(INDEX('Autumn term 2025'!$AB$6:$AM$55,_xlfn.XMATCH(RIGHT(MFG!$A24,4)*1,'Autumn term 2025'!$AA$6:$AA$55),_xlfn.XMATCH(MFG!K$7,'Autumn term 2025'!$AB$5:$AM$5)),0)</f>
        <v>0</v>
      </c>
      <c r="L24" s="403" cm="1">
        <f t="array" ref="L24">IFERROR(INDEX('Autumn term 2025'!$AB$6:$AM$55,_xlfn.XMATCH(RIGHT(MFG!$A24,4)*1,'Autumn term 2025'!$AA$6:$AA$55),_xlfn.XMATCH(MFG!L$7,'Autumn term 2025'!$AB$5:$AM$5)),0)</f>
        <v>0</v>
      </c>
      <c r="M24" s="403" cm="1">
        <f t="array" ref="M24">IFERROR(INDEX('Autumn term 2025'!$AB$6:$AM$55,_xlfn.XMATCH(RIGHT(MFG!$A24,4)*1,'Autumn term 2025'!$AA$6:$AA$55),_xlfn.XMATCH(MFG!M$7,'Autumn term 2025'!$AB$5:$AM$5)),0)</f>
        <v>0</v>
      </c>
      <c r="N24" s="403" cm="1">
        <f t="array" ref="N24">IFERROR(INDEX('Autumn term 2025'!$AB$6:$AM$55,_xlfn.XMATCH(RIGHT(MFG!$A24,4)*1,'Autumn term 2025'!$AA$6:$AA$55),_xlfn.XMATCH(MFG!N$7,'Autumn term 2025'!$AB$5:$AM$5)),0)</f>
        <v>0</v>
      </c>
      <c r="O24" s="403" cm="1">
        <f t="array" ref="O24">IFERROR(INDEX('Autumn term 2025'!$AB$6:$AM$55,_xlfn.XMATCH(RIGHT(MFG!$A24,4)*1,'Autumn term 2025'!$AA$6:$AA$55),_xlfn.XMATCH(MFG!O$7,'Autumn term 2025'!$AB$5:$AM$5)),0)</f>
        <v>0</v>
      </c>
      <c r="P24" s="403" cm="1">
        <f t="array" ref="P24">IFERROR(INDEX('Autumn term 2025'!$AB$6:$AM$55,_xlfn.XMATCH(RIGHT(MFG!$A24,4)*1,'Autumn term 2025'!$AA$6:$AA$55),_xlfn.XMATCH(MFG!P$7,'Autumn term 2025'!$AB$5:$AM$5)),0)</f>
        <v>0</v>
      </c>
      <c r="Q24" s="404" cm="1">
        <f t="array" ref="Q24">IFERROR(INDEX('Autumn term 2025'!$AB$6:$AM$55,_xlfn.XMATCH(RIGHT(MFG!$A24,4)*1,'Autumn term 2025'!$AA$6:$AA$55),_xlfn.XMATCH(MFG!Q$7,'Autumn term 2025'!$AB$5:$AM$5)),0)</f>
        <v>0</v>
      </c>
      <c r="R24" s="412">
        <f>IF(VLOOKUP($A24,Data!$A$4:$I$81,9,FALSE)="PRI",G24*$G$2+H24*$H$2+I24*$I$2+J24*$J$2+K24*$K$2+L24*$L$2+M24*$M$2+N24*$N$2+O24*$O$2+P24*$P$2+Q24*$Q$2,G24*$G$3+H24*$H$3+I24*$I$3+J24*$J$3+K24*$K$3+L24*$L$3+M24*$M$3+N24*$N$3+O24*$O$3+P24*$P$3+Q24*$Q$3)</f>
        <v>0</v>
      </c>
      <c r="S24" s="145">
        <f>IF(VLOOKUP($A24,Data!$A$4:$I$81,9,FALSE)="PRI",G24*$G$4+H24*$H$4+I24*$I$4+J24*$J$4+K24*$K$4+L24*$L$4+M24*$M$4+N24*$N$4+O24*$O$4+P24*$P$4+Q24*$Q$4,G24*$G$5+H24*$H$5+I24*$I$5+J24*$J$5+K24*$K$5+L24*$L$5+M24*$M$5+N24*$N$5+O24*$O$5+P24*$P$5+Q24*$Q$5)</f>
        <v>0</v>
      </c>
      <c r="T24" s="229">
        <f>IFERROR(VLOOKUP(RIGHT($A24,4)*1,'Autumn term 2025'!$U$6:$X$16,3,FALSE),0)</f>
        <v>0</v>
      </c>
      <c r="U24" s="230">
        <f>IFERROR(VLOOKUP(RIGHT($A24,4)*1,'Autumn term 2025'!$U$6:$X$16,2,FALSE),0)</f>
        <v>0</v>
      </c>
      <c r="V24" s="231">
        <f>IF(VLOOKUP($A24,Data!$A$3:$I$81,9,FALSE)="Pri",T24*$T$2+U24*$U$2,T24*$T$3+U24*$U$3)</f>
        <v>0</v>
      </c>
      <c r="W24" s="232">
        <f>IF(VLOOKUP($A24,Data!$A$3:$I$81,9,FALSE)="Pri",T24*$T$4+U24*$U$4,T24*$T$5+U24*$U$5)</f>
        <v>0</v>
      </c>
      <c r="X24" s="235">
        <f t="shared" si="21"/>
        <v>0</v>
      </c>
      <c r="Y24" s="399">
        <f t="shared" si="22"/>
        <v>0</v>
      </c>
      <c r="Z24" s="234">
        <f t="shared" si="23"/>
        <v>0</v>
      </c>
      <c r="AA24" s="46">
        <f t="shared" si="24"/>
        <v>0</v>
      </c>
      <c r="AB24" s="400">
        <f t="shared" si="25"/>
        <v>0</v>
      </c>
      <c r="AC24" s="21">
        <f t="shared" si="26"/>
        <v>0</v>
      </c>
      <c r="AD24" s="11"/>
      <c r="AE24" s="11"/>
      <c r="AF24" s="146">
        <f>IFERROR(VLOOKUP(A24,'25-26 MFG'!A:D,3,FALSE),0)</f>
        <v>0</v>
      </c>
      <c r="AG24" s="75">
        <f>IFERROR(VLOOKUP(A24,'25-26 MFG'!A:D,4,FALSE),0)</f>
        <v>0</v>
      </c>
      <c r="AH24" s="224">
        <f t="shared" si="27"/>
        <v>0</v>
      </c>
    </row>
    <row r="25" spans="1:34">
      <c r="A25" s="7">
        <v>8502206</v>
      </c>
      <c r="B25" s="142" t="s">
        <v>154</v>
      </c>
      <c r="C25" s="16">
        <f>IFERROR(VLOOKUP(RIGHT($A25,4)*1,'Autumn term 2025'!$AA$6:$AM$57,12,FALSE),0)</f>
        <v>0</v>
      </c>
      <c r="D25" s="16">
        <f>SUMIF(APN!$A$3:$A$97,(RIGHT($A25,4)*1),APN!$K$3:$K$97)</f>
        <v>0</v>
      </c>
      <c r="E25" s="209">
        <f>D25*Values!$J$17</f>
        <v>0</v>
      </c>
      <c r="F25" s="410">
        <f t="shared" si="20"/>
        <v>0</v>
      </c>
      <c r="G25" s="402" cm="1">
        <f t="array" ref="G25">IFERROR(INDEX('Autumn term 2025'!$AB$6:$AM$55,_xlfn.XMATCH(RIGHT(MFG!$A25,4)*1,'Autumn term 2025'!$AA$6:$AA$55),_xlfn.XMATCH(MFG!G$7,'Autumn term 2025'!$AB$5:$AM$5)),0)</f>
        <v>0</v>
      </c>
      <c r="H25" s="403" cm="1">
        <f t="array" ref="H25">IFERROR(INDEX('Autumn term 2025'!$AB$6:$AM$55,_xlfn.XMATCH(RIGHT(MFG!$A25,4)*1,'Autumn term 2025'!$AA$6:$AA$55),_xlfn.XMATCH(MFG!H$7,'Autumn term 2025'!$AB$5:$AM$5)),0)</f>
        <v>0</v>
      </c>
      <c r="I25" s="403" cm="1">
        <f t="array" ref="I25">IFERROR(INDEX('Autumn term 2025'!$AB$6:$AM$55,_xlfn.XMATCH(RIGHT(MFG!$A25,4)*1,'Autumn term 2025'!$AA$6:$AA$55),_xlfn.XMATCH(MFG!I$7,'Autumn term 2025'!$AB$5:$AM$5)),0)</f>
        <v>0</v>
      </c>
      <c r="J25" s="403" cm="1">
        <f t="array" ref="J25">IFERROR(INDEX('Autumn term 2025'!$AB$6:$AM$55,_xlfn.XMATCH(RIGHT(MFG!$A25,4)*1,'Autumn term 2025'!$AA$6:$AA$55),_xlfn.XMATCH(MFG!J$7,'Autumn term 2025'!$AB$5:$AM$5)),0)</f>
        <v>0</v>
      </c>
      <c r="K25" s="403" cm="1">
        <f t="array" ref="K25">IFERROR(INDEX('Autumn term 2025'!$AB$6:$AM$55,_xlfn.XMATCH(RIGHT(MFG!$A25,4)*1,'Autumn term 2025'!$AA$6:$AA$55),_xlfn.XMATCH(MFG!K$7,'Autumn term 2025'!$AB$5:$AM$5)),0)</f>
        <v>0</v>
      </c>
      <c r="L25" s="403" cm="1">
        <f t="array" ref="L25">IFERROR(INDEX('Autumn term 2025'!$AB$6:$AM$55,_xlfn.XMATCH(RIGHT(MFG!$A25,4)*1,'Autumn term 2025'!$AA$6:$AA$55),_xlfn.XMATCH(MFG!L$7,'Autumn term 2025'!$AB$5:$AM$5)),0)</f>
        <v>0</v>
      </c>
      <c r="M25" s="403" cm="1">
        <f t="array" ref="M25">IFERROR(INDEX('Autumn term 2025'!$AB$6:$AM$55,_xlfn.XMATCH(RIGHT(MFG!$A25,4)*1,'Autumn term 2025'!$AA$6:$AA$55),_xlfn.XMATCH(MFG!M$7,'Autumn term 2025'!$AB$5:$AM$5)),0)</f>
        <v>0</v>
      </c>
      <c r="N25" s="403" cm="1">
        <f t="array" ref="N25">IFERROR(INDEX('Autumn term 2025'!$AB$6:$AM$55,_xlfn.XMATCH(RIGHT(MFG!$A25,4)*1,'Autumn term 2025'!$AA$6:$AA$55),_xlfn.XMATCH(MFG!N$7,'Autumn term 2025'!$AB$5:$AM$5)),0)</f>
        <v>0</v>
      </c>
      <c r="O25" s="403" cm="1">
        <f t="array" ref="O25">IFERROR(INDEX('Autumn term 2025'!$AB$6:$AM$55,_xlfn.XMATCH(RIGHT(MFG!$A25,4)*1,'Autumn term 2025'!$AA$6:$AA$55),_xlfn.XMATCH(MFG!O$7,'Autumn term 2025'!$AB$5:$AM$5)),0)</f>
        <v>0</v>
      </c>
      <c r="P25" s="403" cm="1">
        <f t="array" ref="P25">IFERROR(INDEX('Autumn term 2025'!$AB$6:$AM$55,_xlfn.XMATCH(RIGHT(MFG!$A25,4)*1,'Autumn term 2025'!$AA$6:$AA$55),_xlfn.XMATCH(MFG!P$7,'Autumn term 2025'!$AB$5:$AM$5)),0)</f>
        <v>0</v>
      </c>
      <c r="Q25" s="404" cm="1">
        <f t="array" ref="Q25">IFERROR(INDEX('Autumn term 2025'!$AB$6:$AM$55,_xlfn.XMATCH(RIGHT(MFG!$A25,4)*1,'Autumn term 2025'!$AA$6:$AA$55),_xlfn.XMATCH(MFG!Q$7,'Autumn term 2025'!$AB$5:$AM$5)),0)</f>
        <v>0</v>
      </c>
      <c r="R25" s="412">
        <f>IF(VLOOKUP($A25,Data!$A$4:$I$81,9,FALSE)="PRI",G25*$G$2+H25*$H$2+I25*$I$2+J25*$J$2+K25*$K$2+L25*$L$2+M25*$M$2+N25*$N$2+O25*$O$2+P25*$P$2+Q25*$Q$2,G25*$G$3+H25*$H$3+I25*$I$3+J25*$J$3+K25*$K$3+L25*$L$3+M25*$M$3+N25*$N$3+O25*$O$3+P25*$P$3+Q25*$Q$3)</f>
        <v>0</v>
      </c>
      <c r="S25" s="145">
        <f>IF(VLOOKUP($A25,Data!$A$4:$I$81,9,FALSE)="PRI",G25*$G$4+H25*$H$4+I25*$I$4+J25*$J$4+K25*$K$4+L25*$L$4+M25*$M$4+N25*$N$4+O25*$O$4+P25*$P$4+Q25*$Q$4,G25*$G$5+H25*$H$5+I25*$I$5+J25*$J$5+K25*$K$5+L25*$L$5+M25*$M$5+N25*$N$5+O25*$O$5+P25*$P$5+Q25*$Q$5)</f>
        <v>0</v>
      </c>
      <c r="T25" s="229">
        <f>IFERROR(VLOOKUP(RIGHT($A25,4)*1,'Autumn term 2025'!$U$6:$X$16,3,FALSE),0)</f>
        <v>0</v>
      </c>
      <c r="U25" s="230">
        <f>IFERROR(VLOOKUP(RIGHT($A25,4)*1,'Autumn term 2025'!$U$6:$X$16,2,FALSE),0)</f>
        <v>0</v>
      </c>
      <c r="V25" s="231">
        <f>IF(VLOOKUP($A25,Data!$A$3:$I$81,9,FALSE)="Pri",T25*$T$2+U25*$U$2,T25*$T$3+U25*$U$3)</f>
        <v>0</v>
      </c>
      <c r="W25" s="232">
        <f>IF(VLOOKUP($A25,Data!$A$3:$I$81,9,FALSE)="Pri",T25*$T$4+U25*$U$4,T25*$T$5+U25*$U$5)</f>
        <v>0</v>
      </c>
      <c r="X25" s="235">
        <f t="shared" si="21"/>
        <v>0</v>
      </c>
      <c r="Y25" s="399">
        <f t="shared" si="22"/>
        <v>0</v>
      </c>
      <c r="Z25" s="234">
        <f t="shared" si="23"/>
        <v>0</v>
      </c>
      <c r="AA25" s="46">
        <f t="shared" si="24"/>
        <v>0</v>
      </c>
      <c r="AB25" s="400">
        <f t="shared" si="25"/>
        <v>0</v>
      </c>
      <c r="AC25" s="21">
        <f t="shared" si="26"/>
        <v>0</v>
      </c>
      <c r="AD25" s="11"/>
      <c r="AE25" s="11"/>
      <c r="AF25" s="146">
        <f>IFERROR(VLOOKUP(A25,'25-26 MFG'!A:D,3,FALSE),0)</f>
        <v>0</v>
      </c>
      <c r="AG25" s="75">
        <f>IFERROR(VLOOKUP(A25,'25-26 MFG'!A:D,4,FALSE),0)</f>
        <v>0</v>
      </c>
      <c r="AH25" s="224">
        <f t="shared" si="27"/>
        <v>0</v>
      </c>
    </row>
    <row r="26" spans="1:34">
      <c r="A26" s="7">
        <v>8502220</v>
      </c>
      <c r="B26" s="142" t="s">
        <v>12</v>
      </c>
      <c r="C26" s="16">
        <f>IFERROR(VLOOKUP(RIGHT($A26,4)*1,'Autumn term 2025'!$AA$6:$AM$57,12,FALSE),0)</f>
        <v>9</v>
      </c>
      <c r="D26" s="16">
        <f>SUMIF(APN!$A$3:$A$97,(RIGHT($A26,4)*1),APN!$K$3:$K$97)</f>
        <v>12</v>
      </c>
      <c r="E26" s="209">
        <f>D26*Values!$J$17</f>
        <v>72000</v>
      </c>
      <c r="F26" s="410">
        <f t="shared" si="20"/>
        <v>72000</v>
      </c>
      <c r="G26" s="402" cm="1">
        <f t="array" ref="G26">IFERROR(INDEX('Autumn term 2025'!$AB$6:$AM$55,_xlfn.XMATCH(RIGHT(MFG!$A26,4)*1,'Autumn term 2025'!$AA$6:$AA$55),_xlfn.XMATCH(MFG!G$7,'Autumn term 2025'!$AB$5:$AM$5)),0)</f>
        <v>0</v>
      </c>
      <c r="H26" s="403" cm="1">
        <f t="array" ref="H26">IFERROR(INDEX('Autumn term 2025'!$AB$6:$AM$55,_xlfn.XMATCH(RIGHT(MFG!$A26,4)*1,'Autumn term 2025'!$AA$6:$AA$55),_xlfn.XMATCH(MFG!H$7,'Autumn term 2025'!$AB$5:$AM$5)),0)</f>
        <v>0</v>
      </c>
      <c r="I26" s="403" cm="1">
        <f t="array" ref="I26">IFERROR(INDEX('Autumn term 2025'!$AB$6:$AM$55,_xlfn.XMATCH(RIGHT(MFG!$A26,4)*1,'Autumn term 2025'!$AA$6:$AA$55),_xlfn.XMATCH(MFG!I$7,'Autumn term 2025'!$AB$5:$AM$5)),0)</f>
        <v>0</v>
      </c>
      <c r="J26" s="403" cm="1">
        <f t="array" ref="J26">IFERROR(INDEX('Autumn term 2025'!$AB$6:$AM$55,_xlfn.XMATCH(RIGHT(MFG!$A26,4)*1,'Autumn term 2025'!$AA$6:$AA$55),_xlfn.XMATCH(MFG!J$7,'Autumn term 2025'!$AB$5:$AM$5)),0)</f>
        <v>0</v>
      </c>
      <c r="K26" s="403" cm="1">
        <f t="array" ref="K26">IFERROR(INDEX('Autumn term 2025'!$AB$6:$AM$55,_xlfn.XMATCH(RIGHT(MFG!$A26,4)*1,'Autumn term 2025'!$AA$6:$AA$55),_xlfn.XMATCH(MFG!K$7,'Autumn term 2025'!$AB$5:$AM$5)),0)</f>
        <v>0</v>
      </c>
      <c r="L26" s="403" cm="1">
        <f t="array" ref="L26">IFERROR(INDEX('Autumn term 2025'!$AB$6:$AM$55,_xlfn.XMATCH(RIGHT(MFG!$A26,4)*1,'Autumn term 2025'!$AA$6:$AA$55),_xlfn.XMATCH(MFG!L$7,'Autumn term 2025'!$AB$5:$AM$5)),0)</f>
        <v>0</v>
      </c>
      <c r="M26" s="403" cm="1">
        <f t="array" ref="M26">IFERROR(INDEX('Autumn term 2025'!$AB$6:$AM$55,_xlfn.XMATCH(RIGHT(MFG!$A26,4)*1,'Autumn term 2025'!$AA$6:$AA$55),_xlfn.XMATCH(MFG!M$7,'Autumn term 2025'!$AB$5:$AM$5)),0)</f>
        <v>0</v>
      </c>
      <c r="N26" s="403" cm="1">
        <f t="array" ref="N26">IFERROR(INDEX('Autumn term 2025'!$AB$6:$AM$55,_xlfn.XMATCH(RIGHT(MFG!$A26,4)*1,'Autumn term 2025'!$AA$6:$AA$55),_xlfn.XMATCH(MFG!N$7,'Autumn term 2025'!$AB$5:$AM$5)),0)</f>
        <v>9</v>
      </c>
      <c r="O26" s="403" cm="1">
        <f t="array" ref="O26">IFERROR(INDEX('Autumn term 2025'!$AB$6:$AM$55,_xlfn.XMATCH(RIGHT(MFG!$A26,4)*1,'Autumn term 2025'!$AA$6:$AA$55),_xlfn.XMATCH(MFG!O$7,'Autumn term 2025'!$AB$5:$AM$5)),0)</f>
        <v>0</v>
      </c>
      <c r="P26" s="403" cm="1">
        <f t="array" ref="P26">IFERROR(INDEX('Autumn term 2025'!$AB$6:$AM$55,_xlfn.XMATCH(RIGHT(MFG!$A26,4)*1,'Autumn term 2025'!$AA$6:$AA$55),_xlfn.XMATCH(MFG!P$7,'Autumn term 2025'!$AB$5:$AM$5)),0)</f>
        <v>0</v>
      </c>
      <c r="Q26" s="404" cm="1">
        <f t="array" ref="Q26">IFERROR(INDEX('Autumn term 2025'!$AB$6:$AM$55,_xlfn.XMATCH(RIGHT(MFG!$A26,4)*1,'Autumn term 2025'!$AA$6:$AA$55),_xlfn.XMATCH(MFG!Q$7,'Autumn term 2025'!$AB$5:$AM$5)),0)</f>
        <v>0</v>
      </c>
      <c r="R26" s="412">
        <f>IF(VLOOKUP($A26,Data!$A$4:$I$81,9,FALSE)="PRI",G26*$G$2+H26*$H$2+I26*$I$2+J26*$J$2+K26*$K$2+L26*$L$2+M26*$M$2+N26*$N$2+O26*$O$2+P26*$P$2+Q26*$Q$2,G26*$G$3+H26*$H$3+I26*$I$3+J26*$J$3+K26*$K$3+L26*$L$3+M26*$M$3+N26*$N$3+O26*$O$3+P26*$P$3+Q26*$Q$3)</f>
        <v>45216</v>
      </c>
      <c r="S26" s="145">
        <f>IF(VLOOKUP($A26,Data!$A$4:$I$81,9,FALSE)="PRI",G26*$G$4+H26*$H$4+I26*$I$4+J26*$J$4+K26*$K$4+L26*$L$4+M26*$M$4+N26*$N$4+O26*$O$4+P26*$P$4+Q26*$Q$4,G26*$G$5+H26*$H$5+I26*$I$5+J26*$J$5+K26*$K$5+L26*$L$5+M26*$M$5+N26*$N$5+O26*$O$5+P26*$P$5+Q26*$Q$5)</f>
        <v>47304</v>
      </c>
      <c r="T26" s="229">
        <f>IFERROR(VLOOKUP(RIGHT($A26,4)*1,'Autumn term 2025'!$U$6:$X$16,3,FALSE),0)</f>
        <v>0</v>
      </c>
      <c r="U26" s="230">
        <f>IFERROR(VLOOKUP(RIGHT($A26,4)*1,'Autumn term 2025'!$U$6:$X$16,2,FALSE),0)</f>
        <v>0</v>
      </c>
      <c r="V26" s="231">
        <f>IF(VLOOKUP($A26,Data!$A$3:$I$81,9,FALSE)="Pri",T26*$T$2+U26*$U$2,T26*$T$3+U26*$U$3)</f>
        <v>0</v>
      </c>
      <c r="W26" s="232">
        <f>IF(VLOOKUP($A26,Data!$A$3:$I$81,9,FALSE)="Pri",T26*$T$4+U26*$U$4,T26*$T$5+U26*$U$5)</f>
        <v>0</v>
      </c>
      <c r="X26" s="235">
        <f t="shared" si="21"/>
        <v>875</v>
      </c>
      <c r="Y26" s="399">
        <f t="shared" si="22"/>
        <v>125091</v>
      </c>
      <c r="Z26" s="234">
        <f t="shared" si="23"/>
        <v>125091</v>
      </c>
      <c r="AA26" s="46">
        <f>F26+S26+W26</f>
        <v>119304</v>
      </c>
      <c r="AB26" s="400">
        <f>MAX(0,Z26-AA26)</f>
        <v>5787</v>
      </c>
      <c r="AC26" s="21">
        <f>IFERROR(ROUND(AB26/C26,0),0)</f>
        <v>643</v>
      </c>
      <c r="AD26" s="11"/>
      <c r="AE26" s="11"/>
      <c r="AF26" s="146">
        <f>IFERROR(VLOOKUP(A26,'25-26 MFG'!A:D,3,FALSE),0)</f>
        <v>8662.5</v>
      </c>
      <c r="AG26" s="75">
        <f>IFERROR(VLOOKUP(A26,'25-26 MFG'!A:D,4,FALSE),0)</f>
        <v>875</v>
      </c>
      <c r="AH26" s="224">
        <f t="shared" si="27"/>
        <v>-232</v>
      </c>
    </row>
    <row r="27" spans="1:34">
      <c r="A27" s="7">
        <v>8502228</v>
      </c>
      <c r="B27" s="142" t="s">
        <v>13</v>
      </c>
      <c r="C27" s="16">
        <f>IFERROR(VLOOKUP(RIGHT($A27,4)*1,'Autumn term 2025'!$AA$6:$AM$57,12,FALSE),0)</f>
        <v>23</v>
      </c>
      <c r="D27" s="16">
        <f>SUMIF(APN!$A$3:$A$97,(RIGHT($A27,4)*1),APN!$K$3:$K$97)</f>
        <v>22</v>
      </c>
      <c r="E27" s="209">
        <f>D27*Values!$J$17</f>
        <v>132000</v>
      </c>
      <c r="F27" s="410">
        <f t="shared" si="20"/>
        <v>132000</v>
      </c>
      <c r="G27" s="402" cm="1">
        <f t="array" ref="G27">IFERROR(INDEX('Autumn term 2025'!$AB$6:$AM$55,_xlfn.XMATCH(RIGHT(MFG!$A27,4)*1,'Autumn term 2025'!$AA$6:$AA$55),_xlfn.XMATCH(MFG!G$7,'Autumn term 2025'!$AB$5:$AM$5)),0)</f>
        <v>0</v>
      </c>
      <c r="H27" s="403" cm="1">
        <f t="array" ref="H27">IFERROR(INDEX('Autumn term 2025'!$AB$6:$AM$55,_xlfn.XMATCH(RIGHT(MFG!$A27,4)*1,'Autumn term 2025'!$AA$6:$AA$55),_xlfn.XMATCH(MFG!H$7,'Autumn term 2025'!$AB$5:$AM$5)),0)</f>
        <v>0</v>
      </c>
      <c r="I27" s="403" cm="1">
        <f t="array" ref="I27">IFERROR(INDEX('Autumn term 2025'!$AB$6:$AM$55,_xlfn.XMATCH(RIGHT(MFG!$A27,4)*1,'Autumn term 2025'!$AA$6:$AA$55),_xlfn.XMATCH(MFG!I$7,'Autumn term 2025'!$AB$5:$AM$5)),0)</f>
        <v>0</v>
      </c>
      <c r="J27" s="403" cm="1">
        <f t="array" ref="J27">IFERROR(INDEX('Autumn term 2025'!$AB$6:$AM$55,_xlfn.XMATCH(RIGHT(MFG!$A27,4)*1,'Autumn term 2025'!$AA$6:$AA$55),_xlfn.XMATCH(MFG!J$7,'Autumn term 2025'!$AB$5:$AM$5)),0)</f>
        <v>0</v>
      </c>
      <c r="K27" s="403" cm="1">
        <f t="array" ref="K27">IFERROR(INDEX('Autumn term 2025'!$AB$6:$AM$55,_xlfn.XMATCH(RIGHT(MFG!$A27,4)*1,'Autumn term 2025'!$AA$6:$AA$55),_xlfn.XMATCH(MFG!K$7,'Autumn term 2025'!$AB$5:$AM$5)),0)</f>
        <v>0</v>
      </c>
      <c r="L27" s="403" cm="1">
        <f t="array" ref="L27">IFERROR(INDEX('Autumn term 2025'!$AB$6:$AM$55,_xlfn.XMATCH(RIGHT(MFG!$A27,4)*1,'Autumn term 2025'!$AA$6:$AA$55),_xlfn.XMATCH(MFG!L$7,'Autumn term 2025'!$AB$5:$AM$5)),0)</f>
        <v>0</v>
      </c>
      <c r="M27" s="403" cm="1">
        <f t="array" ref="M27">IFERROR(INDEX('Autumn term 2025'!$AB$6:$AM$55,_xlfn.XMATCH(RIGHT(MFG!$A27,4)*1,'Autumn term 2025'!$AA$6:$AA$55),_xlfn.XMATCH(MFG!M$7,'Autumn term 2025'!$AB$5:$AM$5)),0)</f>
        <v>0</v>
      </c>
      <c r="N27" s="403" cm="1">
        <f t="array" ref="N27">IFERROR(INDEX('Autumn term 2025'!$AB$6:$AM$55,_xlfn.XMATCH(RIGHT(MFG!$A27,4)*1,'Autumn term 2025'!$AA$6:$AA$55),_xlfn.XMATCH(MFG!N$7,'Autumn term 2025'!$AB$5:$AM$5)),0)</f>
        <v>23</v>
      </c>
      <c r="O27" s="403" cm="1">
        <f t="array" ref="O27">IFERROR(INDEX('Autumn term 2025'!$AB$6:$AM$55,_xlfn.XMATCH(RIGHT(MFG!$A27,4)*1,'Autumn term 2025'!$AA$6:$AA$55),_xlfn.XMATCH(MFG!O$7,'Autumn term 2025'!$AB$5:$AM$5)),0)</f>
        <v>0</v>
      </c>
      <c r="P27" s="403" cm="1">
        <f t="array" ref="P27">IFERROR(INDEX('Autumn term 2025'!$AB$6:$AM$55,_xlfn.XMATCH(RIGHT(MFG!$A27,4)*1,'Autumn term 2025'!$AA$6:$AA$55),_xlfn.XMATCH(MFG!P$7,'Autumn term 2025'!$AB$5:$AM$5)),0)</f>
        <v>0</v>
      </c>
      <c r="Q27" s="404" cm="1">
        <f t="array" ref="Q27">IFERROR(INDEX('Autumn term 2025'!$AB$6:$AM$55,_xlfn.XMATCH(RIGHT(MFG!$A27,4)*1,'Autumn term 2025'!$AA$6:$AA$55),_xlfn.XMATCH(MFG!Q$7,'Autumn term 2025'!$AB$5:$AM$5)),0)</f>
        <v>0</v>
      </c>
      <c r="R27" s="412">
        <f>IF(VLOOKUP($A27,Data!$A$4:$I$81,9,FALSE)="PRI",G27*$G$2+H27*$H$2+I27*$I$2+J27*$J$2+K27*$K$2+L27*$L$2+M27*$M$2+N27*$N$2+O27*$O$2+P27*$P$2+Q27*$Q$2,G27*$G$3+H27*$H$3+I27*$I$3+J27*$J$3+K27*$K$3+L27*$L$3+M27*$M$3+N27*$N$3+O27*$O$3+P27*$P$3+Q27*$Q$3)</f>
        <v>115552</v>
      </c>
      <c r="S27" s="145">
        <f>IF(VLOOKUP($A27,Data!$A$4:$I$81,9,FALSE)="PRI",G27*$G$4+H27*$H$4+I27*$I$4+J27*$J$4+K27*$K$4+L27*$L$4+M27*$M$4+N27*$N$4+O27*$O$4+P27*$P$4+Q27*$Q$4,G27*$G$5+H27*$H$5+I27*$I$5+J27*$J$5+K27*$K$5+L27*$L$5+M27*$M$5+N27*$N$5+O27*$O$5+P27*$P$5+Q27*$Q$5)</f>
        <v>120888</v>
      </c>
      <c r="T27" s="229">
        <f>IFERROR(VLOOKUP(RIGHT($A27,4)*1,'Autumn term 2025'!$U$6:$X$16,3,FALSE),0)</f>
        <v>0</v>
      </c>
      <c r="U27" s="230">
        <f>IFERROR(VLOOKUP(RIGHT($A27,4)*1,'Autumn term 2025'!$U$6:$X$16,2,FALSE),0)</f>
        <v>0</v>
      </c>
      <c r="V27" s="231">
        <f>IF(VLOOKUP($A27,Data!$A$3:$I$81,9,FALSE)="Pri",T27*$T$2+U27*$U$2,T27*$T$3+U27*$U$3)</f>
        <v>0</v>
      </c>
      <c r="W27" s="232">
        <f>IF(VLOOKUP($A27,Data!$A$3:$I$81,9,FALSE)="Pri",T27*$T$4+U27*$U$4,T27*$T$5+U27*$U$5)</f>
        <v>0</v>
      </c>
      <c r="X27" s="235">
        <f t="shared" si="21"/>
        <v>0</v>
      </c>
      <c r="Y27" s="399">
        <f t="shared" si="22"/>
        <v>247552</v>
      </c>
      <c r="Z27" s="234">
        <f t="shared" si="23"/>
        <v>247552</v>
      </c>
      <c r="AA27" s="46">
        <f t="shared" si="24"/>
        <v>252888</v>
      </c>
      <c r="AB27" s="400">
        <f t="shared" si="25"/>
        <v>0</v>
      </c>
      <c r="AC27" s="21">
        <f t="shared" si="26"/>
        <v>0</v>
      </c>
      <c r="AD27" s="11"/>
      <c r="AE27" s="11"/>
      <c r="AF27" s="146">
        <f>IFERROR(VLOOKUP(A27,'25-26 MFG'!A:D,3,FALSE),0)</f>
        <v>0</v>
      </c>
      <c r="AG27" s="75">
        <f>IFERROR(VLOOKUP(A27,'25-26 MFG'!A:D,4,FALSE),0)</f>
        <v>0</v>
      </c>
      <c r="AH27" s="224">
        <f t="shared" si="27"/>
        <v>0</v>
      </c>
    </row>
    <row r="28" spans="1:34">
      <c r="A28" s="7">
        <v>8502237</v>
      </c>
      <c r="B28" s="142" t="s">
        <v>14</v>
      </c>
      <c r="C28" s="16">
        <f>IFERROR(VLOOKUP(RIGHT($A28,4)*1,'Autumn term 2025'!$AA$6:$AM$57,12,FALSE),0)</f>
        <v>7</v>
      </c>
      <c r="D28" s="16">
        <f>SUMIF(APN!$A$3:$A$97,(RIGHT($A28,4)*1),APN!$K$3:$K$97)</f>
        <v>12</v>
      </c>
      <c r="E28" s="209">
        <f>D28*Values!$J$17</f>
        <v>72000</v>
      </c>
      <c r="F28" s="410">
        <f t="shared" si="20"/>
        <v>72000</v>
      </c>
      <c r="G28" s="402" cm="1">
        <f t="array" ref="G28">IFERROR(INDEX('Autumn term 2025'!$AB$6:$AM$55,_xlfn.XMATCH(RIGHT(MFG!$A28,4)*1,'Autumn term 2025'!$AA$6:$AA$55),_xlfn.XMATCH(MFG!G$7,'Autumn term 2025'!$AB$5:$AM$5)),0)</f>
        <v>0</v>
      </c>
      <c r="H28" s="403" cm="1">
        <f t="array" ref="H28">IFERROR(INDEX('Autumn term 2025'!$AB$6:$AM$55,_xlfn.XMATCH(RIGHT(MFG!$A28,4)*1,'Autumn term 2025'!$AA$6:$AA$55),_xlfn.XMATCH(MFG!H$7,'Autumn term 2025'!$AB$5:$AM$5)),0)</f>
        <v>0</v>
      </c>
      <c r="I28" s="403" cm="1">
        <f t="array" ref="I28">IFERROR(INDEX('Autumn term 2025'!$AB$6:$AM$55,_xlfn.XMATCH(RIGHT(MFG!$A28,4)*1,'Autumn term 2025'!$AA$6:$AA$55),_xlfn.XMATCH(MFG!I$7,'Autumn term 2025'!$AB$5:$AM$5)),0)</f>
        <v>0</v>
      </c>
      <c r="J28" s="403" cm="1">
        <f t="array" ref="J28">IFERROR(INDEX('Autumn term 2025'!$AB$6:$AM$55,_xlfn.XMATCH(RIGHT(MFG!$A28,4)*1,'Autumn term 2025'!$AA$6:$AA$55),_xlfn.XMATCH(MFG!J$7,'Autumn term 2025'!$AB$5:$AM$5)),0)</f>
        <v>0</v>
      </c>
      <c r="K28" s="403" cm="1">
        <f t="array" ref="K28">IFERROR(INDEX('Autumn term 2025'!$AB$6:$AM$55,_xlfn.XMATCH(RIGHT(MFG!$A28,4)*1,'Autumn term 2025'!$AA$6:$AA$55),_xlfn.XMATCH(MFG!K$7,'Autumn term 2025'!$AB$5:$AM$5)),0)</f>
        <v>0</v>
      </c>
      <c r="L28" s="403" cm="1">
        <f t="array" ref="L28">IFERROR(INDEX('Autumn term 2025'!$AB$6:$AM$55,_xlfn.XMATCH(RIGHT(MFG!$A28,4)*1,'Autumn term 2025'!$AA$6:$AA$55),_xlfn.XMATCH(MFG!L$7,'Autumn term 2025'!$AB$5:$AM$5)),0)</f>
        <v>0</v>
      </c>
      <c r="M28" s="403" cm="1">
        <f t="array" ref="M28">IFERROR(INDEX('Autumn term 2025'!$AB$6:$AM$55,_xlfn.XMATCH(RIGHT(MFG!$A28,4)*1,'Autumn term 2025'!$AA$6:$AA$55),_xlfn.XMATCH(MFG!M$7,'Autumn term 2025'!$AB$5:$AM$5)),0)</f>
        <v>0</v>
      </c>
      <c r="N28" s="403" cm="1">
        <f t="array" ref="N28">IFERROR(INDEX('Autumn term 2025'!$AB$6:$AM$55,_xlfn.XMATCH(RIGHT(MFG!$A28,4)*1,'Autumn term 2025'!$AA$6:$AA$55),_xlfn.XMATCH(MFG!N$7,'Autumn term 2025'!$AB$5:$AM$5)),0)</f>
        <v>7</v>
      </c>
      <c r="O28" s="403" cm="1">
        <f t="array" ref="O28">IFERROR(INDEX('Autumn term 2025'!$AB$6:$AM$55,_xlfn.XMATCH(RIGHT(MFG!$A28,4)*1,'Autumn term 2025'!$AA$6:$AA$55),_xlfn.XMATCH(MFG!O$7,'Autumn term 2025'!$AB$5:$AM$5)),0)</f>
        <v>0</v>
      </c>
      <c r="P28" s="403" cm="1">
        <f t="array" ref="P28">IFERROR(INDEX('Autumn term 2025'!$AB$6:$AM$55,_xlfn.XMATCH(RIGHT(MFG!$A28,4)*1,'Autumn term 2025'!$AA$6:$AA$55),_xlfn.XMATCH(MFG!P$7,'Autumn term 2025'!$AB$5:$AM$5)),0)</f>
        <v>0</v>
      </c>
      <c r="Q28" s="404" cm="1">
        <f t="array" ref="Q28">IFERROR(INDEX('Autumn term 2025'!$AB$6:$AM$55,_xlfn.XMATCH(RIGHT(MFG!$A28,4)*1,'Autumn term 2025'!$AA$6:$AA$55),_xlfn.XMATCH(MFG!Q$7,'Autumn term 2025'!$AB$5:$AM$5)),0)</f>
        <v>0</v>
      </c>
      <c r="R28" s="412">
        <f>IF(VLOOKUP($A28,Data!$A$4:$I$81,9,FALSE)="PRI",G28*$G$2+H28*$H$2+I28*$I$2+J28*$J$2+K28*$K$2+L28*$L$2+M28*$M$2+N28*$N$2+O28*$O$2+P28*$P$2+Q28*$Q$2,G28*$G$3+H28*$H$3+I28*$I$3+J28*$J$3+K28*$K$3+L28*$L$3+M28*$M$3+N28*$N$3+O28*$O$3+P28*$P$3+Q28*$Q$3)</f>
        <v>35168</v>
      </c>
      <c r="S28" s="145">
        <f>IF(VLOOKUP($A28,Data!$A$4:$I$81,9,FALSE)="PRI",G28*$G$4+H28*$H$4+I28*$I$4+J28*$J$4+K28*$K$4+L28*$L$4+M28*$M$4+N28*$N$4+O28*$O$4+P28*$P$4+Q28*$Q$4,G28*$G$5+H28*$H$5+I28*$I$5+J28*$J$5+K28*$K$5+L28*$L$5+M28*$M$5+N28*$N$5+O28*$O$5+P28*$P$5+Q28*$Q$5)</f>
        <v>36792</v>
      </c>
      <c r="T28" s="229">
        <f>IFERROR(VLOOKUP(RIGHT($A28,4)*1,'Autumn term 2025'!$U$6:$X$16,3,FALSE),0)</f>
        <v>0</v>
      </c>
      <c r="U28" s="230">
        <f>IFERROR(VLOOKUP(RIGHT($A28,4)*1,'Autumn term 2025'!$U$6:$X$16,2,FALSE),0)</f>
        <v>0</v>
      </c>
      <c r="V28" s="231">
        <f>IF(VLOOKUP($A28,Data!$A$3:$I$81,9,FALSE)="Pri",T28*$T$2+U28*$U$2,T28*$T$3+U28*$U$3)</f>
        <v>0</v>
      </c>
      <c r="W28" s="232">
        <f>IF(VLOOKUP($A28,Data!$A$3:$I$81,9,FALSE)="Pri",T28*$T$4+U28*$U$4,T28*$T$5+U28*$U$5)</f>
        <v>0</v>
      </c>
      <c r="X28" s="235">
        <f t="shared" si="21"/>
        <v>0</v>
      </c>
      <c r="Y28" s="399">
        <f t="shared" si="22"/>
        <v>107168</v>
      </c>
      <c r="Z28" s="234">
        <f t="shared" si="23"/>
        <v>107168</v>
      </c>
      <c r="AA28" s="46">
        <f t="shared" si="24"/>
        <v>108792</v>
      </c>
      <c r="AB28" s="400">
        <f t="shared" si="25"/>
        <v>0</v>
      </c>
      <c r="AC28" s="21">
        <f t="shared" si="26"/>
        <v>0</v>
      </c>
      <c r="AD28" s="11"/>
      <c r="AE28" s="11"/>
      <c r="AF28" s="146">
        <f>IFERROR(VLOOKUP(A28,'25-26 MFG'!A:D,3,FALSE),0)</f>
        <v>0</v>
      </c>
      <c r="AG28" s="75">
        <f>IFERROR(VLOOKUP(A28,'25-26 MFG'!A:D,4,FALSE),0)</f>
        <v>0</v>
      </c>
      <c r="AH28" s="224">
        <f t="shared" si="27"/>
        <v>0</v>
      </c>
    </row>
    <row r="29" spans="1:34">
      <c r="A29" s="7">
        <v>8502291</v>
      </c>
      <c r="B29" s="142" t="s">
        <v>159</v>
      </c>
      <c r="C29" s="16">
        <f>IFERROR(VLOOKUP(RIGHT($A29,4)*1,'Autumn term 2025'!$AA$6:$AM$57,12,FALSE),0)</f>
        <v>7</v>
      </c>
      <c r="D29" s="16">
        <f>SUMIF(APN!$A$3:$A$97,(RIGHT($A29,4)*1),APN!$K$3:$K$97)</f>
        <v>10</v>
      </c>
      <c r="E29" s="209">
        <f>D29*Values!$J$17</f>
        <v>60000</v>
      </c>
      <c r="F29" s="410">
        <f t="shared" si="20"/>
        <v>60000</v>
      </c>
      <c r="G29" s="402" cm="1">
        <f t="array" ref="G29">IFERROR(INDEX('Autumn term 2025'!$AB$6:$AM$55,_xlfn.XMATCH(RIGHT(MFG!$A29,4)*1,'Autumn term 2025'!$AA$6:$AA$55),_xlfn.XMATCH(MFG!G$7,'Autumn term 2025'!$AB$5:$AM$5)),0)</f>
        <v>0</v>
      </c>
      <c r="H29" s="403" cm="1">
        <f t="array" ref="H29">IFERROR(INDEX('Autumn term 2025'!$AB$6:$AM$55,_xlfn.XMATCH(RIGHT(MFG!$A29,4)*1,'Autumn term 2025'!$AA$6:$AA$55),_xlfn.XMATCH(MFG!H$7,'Autumn term 2025'!$AB$5:$AM$5)),0)</f>
        <v>0</v>
      </c>
      <c r="I29" s="403" cm="1">
        <f t="array" ref="I29">IFERROR(INDEX('Autumn term 2025'!$AB$6:$AM$55,_xlfn.XMATCH(RIGHT(MFG!$A29,4)*1,'Autumn term 2025'!$AA$6:$AA$55),_xlfn.XMATCH(MFG!I$7,'Autumn term 2025'!$AB$5:$AM$5)),0)</f>
        <v>7</v>
      </c>
      <c r="J29" s="403" cm="1">
        <f t="array" ref="J29">IFERROR(INDEX('Autumn term 2025'!$AB$6:$AM$55,_xlfn.XMATCH(RIGHT(MFG!$A29,4)*1,'Autumn term 2025'!$AA$6:$AA$55),_xlfn.XMATCH(MFG!J$7,'Autumn term 2025'!$AB$5:$AM$5)),0)</f>
        <v>0</v>
      </c>
      <c r="K29" s="403" cm="1">
        <f t="array" ref="K29">IFERROR(INDEX('Autumn term 2025'!$AB$6:$AM$55,_xlfn.XMATCH(RIGHT(MFG!$A29,4)*1,'Autumn term 2025'!$AA$6:$AA$55),_xlfn.XMATCH(MFG!K$7,'Autumn term 2025'!$AB$5:$AM$5)),0)</f>
        <v>0</v>
      </c>
      <c r="L29" s="403" cm="1">
        <f t="array" ref="L29">IFERROR(INDEX('Autumn term 2025'!$AB$6:$AM$55,_xlfn.XMATCH(RIGHT(MFG!$A29,4)*1,'Autumn term 2025'!$AA$6:$AA$55),_xlfn.XMATCH(MFG!L$7,'Autumn term 2025'!$AB$5:$AM$5)),0)</f>
        <v>0</v>
      </c>
      <c r="M29" s="403" cm="1">
        <f t="array" ref="M29">IFERROR(INDEX('Autumn term 2025'!$AB$6:$AM$55,_xlfn.XMATCH(RIGHT(MFG!$A29,4)*1,'Autumn term 2025'!$AA$6:$AA$55),_xlfn.XMATCH(MFG!M$7,'Autumn term 2025'!$AB$5:$AM$5)),0)</f>
        <v>0</v>
      </c>
      <c r="N29" s="403" cm="1">
        <f t="array" ref="N29">IFERROR(INDEX('Autumn term 2025'!$AB$6:$AM$55,_xlfn.XMATCH(RIGHT(MFG!$A29,4)*1,'Autumn term 2025'!$AA$6:$AA$55),_xlfn.XMATCH(MFG!N$7,'Autumn term 2025'!$AB$5:$AM$5)),0)</f>
        <v>0</v>
      </c>
      <c r="O29" s="403" cm="1">
        <f t="array" ref="O29">IFERROR(INDEX('Autumn term 2025'!$AB$6:$AM$55,_xlfn.XMATCH(RIGHT(MFG!$A29,4)*1,'Autumn term 2025'!$AA$6:$AA$55),_xlfn.XMATCH(MFG!O$7,'Autumn term 2025'!$AB$5:$AM$5)),0)</f>
        <v>0</v>
      </c>
      <c r="P29" s="403" cm="1">
        <f t="array" ref="P29">IFERROR(INDEX('Autumn term 2025'!$AB$6:$AM$55,_xlfn.XMATCH(RIGHT(MFG!$A29,4)*1,'Autumn term 2025'!$AA$6:$AA$55),_xlfn.XMATCH(MFG!P$7,'Autumn term 2025'!$AB$5:$AM$5)),0)</f>
        <v>0</v>
      </c>
      <c r="Q29" s="404" cm="1">
        <f t="array" ref="Q29">IFERROR(INDEX('Autumn term 2025'!$AB$6:$AM$55,_xlfn.XMATCH(RIGHT(MFG!$A29,4)*1,'Autumn term 2025'!$AA$6:$AA$55),_xlfn.XMATCH(MFG!Q$7,'Autumn term 2025'!$AB$5:$AM$5)),0)</f>
        <v>0</v>
      </c>
      <c r="R29" s="412">
        <f>IF(VLOOKUP($A29,Data!$A$4:$I$81,9,FALSE)="PRI",G29*$G$2+H29*$H$2+I29*$I$2+J29*$J$2+K29*$K$2+L29*$L$2+M29*$M$2+N29*$N$2+O29*$O$2+P29*$P$2+Q29*$Q$2,G29*$G$3+H29*$H$3+I29*$I$3+J29*$J$3+K29*$K$3+L29*$L$3+M29*$M$3+N29*$N$3+O29*$O$3+P29*$P$3+Q29*$Q$3)</f>
        <v>9653</v>
      </c>
      <c r="S29" s="145">
        <f>IF(VLOOKUP($A29,Data!$A$4:$I$81,9,FALSE)="PRI",G29*$G$4+H29*$H$4+I29*$I$4+J29*$J$4+K29*$K$4+L29*$L$4+M29*$M$4+N29*$N$4+O29*$O$4+P29*$P$4+Q29*$Q$4,G29*$G$5+H29*$H$5+I29*$I$5+J29*$J$5+K29*$K$5+L29*$L$5+M29*$M$5+N29*$N$5+O29*$O$5+P29*$P$5+Q29*$Q$5)</f>
        <v>10738</v>
      </c>
      <c r="T29" s="229">
        <f>IFERROR(VLOOKUP(RIGHT($A29,4)*1,'Autumn term 2025'!$U$6:$X$16,3,FALSE),0)</f>
        <v>0</v>
      </c>
      <c r="U29" s="230">
        <f>IFERROR(VLOOKUP(RIGHT($A29,4)*1,'Autumn term 2025'!$U$6:$X$16,2,FALSE),0)</f>
        <v>0</v>
      </c>
      <c r="V29" s="231">
        <f>IF(VLOOKUP($A29,Data!$A$3:$I$81,9,FALSE)="Pri",T29*$T$2+U29*$U$2,T29*$T$3+U29*$U$3)</f>
        <v>0</v>
      </c>
      <c r="W29" s="232">
        <f>IF(VLOOKUP($A29,Data!$A$3:$I$81,9,FALSE)="Pri",T29*$T$4+U29*$U$4,T29*$T$5+U29*$U$5)</f>
        <v>0</v>
      </c>
      <c r="X29" s="235">
        <f t="shared" si="21"/>
        <v>0</v>
      </c>
      <c r="Y29" s="399">
        <f t="shared" si="22"/>
        <v>69653</v>
      </c>
      <c r="Z29" s="234">
        <f t="shared" si="23"/>
        <v>69653</v>
      </c>
      <c r="AA29" s="46">
        <f t="shared" si="24"/>
        <v>70738</v>
      </c>
      <c r="AB29" s="400">
        <f t="shared" si="25"/>
        <v>0</v>
      </c>
      <c r="AC29" s="21">
        <f t="shared" si="26"/>
        <v>0</v>
      </c>
      <c r="AD29" s="11"/>
      <c r="AE29" s="11"/>
      <c r="AF29" s="146">
        <f>IFERROR(VLOOKUP(A29,'25-26 MFG'!A:D,3,FALSE),0)</f>
        <v>0</v>
      </c>
      <c r="AG29" s="75">
        <f>IFERROR(VLOOKUP(A29,'25-26 MFG'!A:D,4,FALSE),0)</f>
        <v>0</v>
      </c>
      <c r="AH29" s="224">
        <f t="shared" si="27"/>
        <v>0</v>
      </c>
    </row>
    <row r="30" spans="1:34">
      <c r="A30" s="7">
        <v>8502266</v>
      </c>
      <c r="B30" s="142" t="s">
        <v>155</v>
      </c>
      <c r="C30" s="16">
        <f>IFERROR(VLOOKUP(RIGHT($A30,4)*1,'Autumn term 2025'!$AA$6:$AM$57,12,FALSE),0)</f>
        <v>0</v>
      </c>
      <c r="D30" s="16">
        <f>SUMIF(APN!$A$3:$A$97,(RIGHT($A30,4)*1),APN!$K$3:$K$97)</f>
        <v>0</v>
      </c>
      <c r="E30" s="209">
        <f>D30*Values!$J$17</f>
        <v>0</v>
      </c>
      <c r="F30" s="410">
        <f t="shared" si="20"/>
        <v>0</v>
      </c>
      <c r="G30" s="402" cm="1">
        <f t="array" ref="G30">IFERROR(INDEX('Autumn term 2025'!$AB$6:$AM$55,_xlfn.XMATCH(RIGHT(MFG!$A30,4)*1,'Autumn term 2025'!$AA$6:$AA$55),_xlfn.XMATCH(MFG!G$7,'Autumn term 2025'!$AB$5:$AM$5)),0)</f>
        <v>0</v>
      </c>
      <c r="H30" s="403" cm="1">
        <f t="array" ref="H30">IFERROR(INDEX('Autumn term 2025'!$AB$6:$AM$55,_xlfn.XMATCH(RIGHT(MFG!$A30,4)*1,'Autumn term 2025'!$AA$6:$AA$55),_xlfn.XMATCH(MFG!H$7,'Autumn term 2025'!$AB$5:$AM$5)),0)</f>
        <v>0</v>
      </c>
      <c r="I30" s="403" cm="1">
        <f t="array" ref="I30">IFERROR(INDEX('Autumn term 2025'!$AB$6:$AM$55,_xlfn.XMATCH(RIGHT(MFG!$A30,4)*1,'Autumn term 2025'!$AA$6:$AA$55),_xlfn.XMATCH(MFG!I$7,'Autumn term 2025'!$AB$5:$AM$5)),0)</f>
        <v>0</v>
      </c>
      <c r="J30" s="403" cm="1">
        <f t="array" ref="J30">IFERROR(INDEX('Autumn term 2025'!$AB$6:$AM$55,_xlfn.XMATCH(RIGHT(MFG!$A30,4)*1,'Autumn term 2025'!$AA$6:$AA$55),_xlfn.XMATCH(MFG!J$7,'Autumn term 2025'!$AB$5:$AM$5)),0)</f>
        <v>0</v>
      </c>
      <c r="K30" s="403" cm="1">
        <f t="array" ref="K30">IFERROR(INDEX('Autumn term 2025'!$AB$6:$AM$55,_xlfn.XMATCH(RIGHT(MFG!$A30,4)*1,'Autumn term 2025'!$AA$6:$AA$55),_xlfn.XMATCH(MFG!K$7,'Autumn term 2025'!$AB$5:$AM$5)),0)</f>
        <v>0</v>
      </c>
      <c r="L30" s="403" cm="1">
        <f t="array" ref="L30">IFERROR(INDEX('Autumn term 2025'!$AB$6:$AM$55,_xlfn.XMATCH(RIGHT(MFG!$A30,4)*1,'Autumn term 2025'!$AA$6:$AA$55),_xlfn.XMATCH(MFG!L$7,'Autumn term 2025'!$AB$5:$AM$5)),0)</f>
        <v>0</v>
      </c>
      <c r="M30" s="403" cm="1">
        <f t="array" ref="M30">IFERROR(INDEX('Autumn term 2025'!$AB$6:$AM$55,_xlfn.XMATCH(RIGHT(MFG!$A30,4)*1,'Autumn term 2025'!$AA$6:$AA$55),_xlfn.XMATCH(MFG!M$7,'Autumn term 2025'!$AB$5:$AM$5)),0)</f>
        <v>0</v>
      </c>
      <c r="N30" s="403" cm="1">
        <f t="array" ref="N30">IFERROR(INDEX('Autumn term 2025'!$AB$6:$AM$55,_xlfn.XMATCH(RIGHT(MFG!$A30,4)*1,'Autumn term 2025'!$AA$6:$AA$55),_xlfn.XMATCH(MFG!N$7,'Autumn term 2025'!$AB$5:$AM$5)),0)</f>
        <v>0</v>
      </c>
      <c r="O30" s="403" cm="1">
        <f t="array" ref="O30">IFERROR(INDEX('Autumn term 2025'!$AB$6:$AM$55,_xlfn.XMATCH(RIGHT(MFG!$A30,4)*1,'Autumn term 2025'!$AA$6:$AA$55),_xlfn.XMATCH(MFG!O$7,'Autumn term 2025'!$AB$5:$AM$5)),0)</f>
        <v>0</v>
      </c>
      <c r="P30" s="403" cm="1">
        <f t="array" ref="P30">IFERROR(INDEX('Autumn term 2025'!$AB$6:$AM$55,_xlfn.XMATCH(RIGHT(MFG!$A30,4)*1,'Autumn term 2025'!$AA$6:$AA$55),_xlfn.XMATCH(MFG!P$7,'Autumn term 2025'!$AB$5:$AM$5)),0)</f>
        <v>0</v>
      </c>
      <c r="Q30" s="404" cm="1">
        <f t="array" ref="Q30">IFERROR(INDEX('Autumn term 2025'!$AB$6:$AM$55,_xlfn.XMATCH(RIGHT(MFG!$A30,4)*1,'Autumn term 2025'!$AA$6:$AA$55),_xlfn.XMATCH(MFG!Q$7,'Autumn term 2025'!$AB$5:$AM$5)),0)</f>
        <v>0</v>
      </c>
      <c r="R30" s="412">
        <f>IF(VLOOKUP($A30,Data!$A$4:$I$81,9,FALSE)="PRI",G30*$G$2+H30*$H$2+I30*$I$2+J30*$J$2+K30*$K$2+L30*$L$2+M30*$M$2+N30*$N$2+O30*$O$2+P30*$P$2+Q30*$Q$2,G30*$G$3+H30*$H$3+I30*$I$3+J30*$J$3+K30*$K$3+L30*$L$3+M30*$M$3+N30*$N$3+O30*$O$3+P30*$P$3+Q30*$Q$3)</f>
        <v>0</v>
      </c>
      <c r="S30" s="145">
        <f>IF(VLOOKUP($A30,Data!$A$4:$I$81,9,FALSE)="PRI",G30*$G$4+H30*$H$4+I30*$I$4+J30*$J$4+K30*$K$4+L30*$L$4+M30*$M$4+N30*$N$4+O30*$O$4+P30*$P$4+Q30*$Q$4,G30*$G$5+H30*$H$5+I30*$I$5+J30*$J$5+K30*$K$5+L30*$L$5+M30*$M$5+N30*$N$5+O30*$O$5+P30*$P$5+Q30*$Q$5)</f>
        <v>0</v>
      </c>
      <c r="T30" s="229">
        <f>IFERROR(VLOOKUP(RIGHT($A30,4)*1,'Autumn term 2025'!$U$6:$X$16,3,FALSE),0)</f>
        <v>0</v>
      </c>
      <c r="U30" s="230">
        <f>IFERROR(VLOOKUP(RIGHT($A30,4)*1,'Autumn term 2025'!$U$6:$X$16,2,FALSE),0)</f>
        <v>0</v>
      </c>
      <c r="V30" s="231">
        <f>IF(VLOOKUP($A30,Data!$A$3:$I$81,9,FALSE)="Pri",T30*$T$2+U30*$U$2,T30*$T$3+U30*$U$3)</f>
        <v>0</v>
      </c>
      <c r="W30" s="232">
        <f>IF(VLOOKUP($A30,Data!$A$3:$I$81,9,FALSE)="Pri",T30*$T$4+U30*$U$4,T30*$T$5+U30*$U$5)</f>
        <v>0</v>
      </c>
      <c r="X30" s="235">
        <f t="shared" si="21"/>
        <v>0</v>
      </c>
      <c r="Y30" s="399">
        <f t="shared" si="22"/>
        <v>0</v>
      </c>
      <c r="Z30" s="234">
        <f t="shared" si="23"/>
        <v>0</v>
      </c>
      <c r="AA30" s="46">
        <f t="shared" si="24"/>
        <v>0</v>
      </c>
      <c r="AB30" s="400">
        <f t="shared" si="25"/>
        <v>0</v>
      </c>
      <c r="AC30" s="21">
        <f t="shared" si="26"/>
        <v>0</v>
      </c>
      <c r="AD30" s="11"/>
      <c r="AE30" s="11"/>
      <c r="AF30" s="146">
        <f>IFERROR(VLOOKUP(A30,'25-26 MFG'!A:D,3,FALSE),0)</f>
        <v>0</v>
      </c>
      <c r="AG30" s="75">
        <f>IFERROR(VLOOKUP(A30,'25-26 MFG'!A:D,4,FALSE),0)</f>
        <v>0</v>
      </c>
      <c r="AH30" s="224">
        <f t="shared" si="27"/>
        <v>0</v>
      </c>
    </row>
    <row r="31" spans="1:34">
      <c r="A31" s="7">
        <v>8502272</v>
      </c>
      <c r="B31" s="142" t="s">
        <v>157</v>
      </c>
      <c r="C31" s="16">
        <f>IFERROR(VLOOKUP(RIGHT($A31,4)*1,'Autumn term 2025'!$AA$6:$AM$57,12,FALSE),0)</f>
        <v>0</v>
      </c>
      <c r="D31" s="16">
        <f>SUMIF(APN!$A$3:$A$97,(RIGHT($A31,4)*1),APN!$K$3:$K$97)</f>
        <v>0</v>
      </c>
      <c r="E31" s="209">
        <f>D31*Values!$J$17</f>
        <v>0</v>
      </c>
      <c r="F31" s="410">
        <f t="shared" si="20"/>
        <v>0</v>
      </c>
      <c r="G31" s="402" cm="1">
        <f t="array" ref="G31">IFERROR(INDEX('Autumn term 2025'!$AB$6:$AM$55,_xlfn.XMATCH(RIGHT(MFG!$A31,4)*1,'Autumn term 2025'!$AA$6:$AA$55),_xlfn.XMATCH(MFG!G$7,'Autumn term 2025'!$AB$5:$AM$5)),0)</f>
        <v>0</v>
      </c>
      <c r="H31" s="403" cm="1">
        <f t="array" ref="H31">IFERROR(INDEX('Autumn term 2025'!$AB$6:$AM$55,_xlfn.XMATCH(RIGHT(MFG!$A31,4)*1,'Autumn term 2025'!$AA$6:$AA$55),_xlfn.XMATCH(MFG!H$7,'Autumn term 2025'!$AB$5:$AM$5)),0)</f>
        <v>0</v>
      </c>
      <c r="I31" s="403" cm="1">
        <f t="array" ref="I31">IFERROR(INDEX('Autumn term 2025'!$AB$6:$AM$55,_xlfn.XMATCH(RIGHT(MFG!$A31,4)*1,'Autumn term 2025'!$AA$6:$AA$55),_xlfn.XMATCH(MFG!I$7,'Autumn term 2025'!$AB$5:$AM$5)),0)</f>
        <v>0</v>
      </c>
      <c r="J31" s="403" cm="1">
        <f t="array" ref="J31">IFERROR(INDEX('Autumn term 2025'!$AB$6:$AM$55,_xlfn.XMATCH(RIGHT(MFG!$A31,4)*1,'Autumn term 2025'!$AA$6:$AA$55),_xlfn.XMATCH(MFG!J$7,'Autumn term 2025'!$AB$5:$AM$5)),0)</f>
        <v>0</v>
      </c>
      <c r="K31" s="403" cm="1">
        <f t="array" ref="K31">IFERROR(INDEX('Autumn term 2025'!$AB$6:$AM$55,_xlfn.XMATCH(RIGHT(MFG!$A31,4)*1,'Autumn term 2025'!$AA$6:$AA$55),_xlfn.XMATCH(MFG!K$7,'Autumn term 2025'!$AB$5:$AM$5)),0)</f>
        <v>0</v>
      </c>
      <c r="L31" s="403" cm="1">
        <f t="array" ref="L31">IFERROR(INDEX('Autumn term 2025'!$AB$6:$AM$55,_xlfn.XMATCH(RIGHT(MFG!$A31,4)*1,'Autumn term 2025'!$AA$6:$AA$55),_xlfn.XMATCH(MFG!L$7,'Autumn term 2025'!$AB$5:$AM$5)),0)</f>
        <v>0</v>
      </c>
      <c r="M31" s="403" cm="1">
        <f t="array" ref="M31">IFERROR(INDEX('Autumn term 2025'!$AB$6:$AM$55,_xlfn.XMATCH(RIGHT(MFG!$A31,4)*1,'Autumn term 2025'!$AA$6:$AA$55),_xlfn.XMATCH(MFG!M$7,'Autumn term 2025'!$AB$5:$AM$5)),0)</f>
        <v>0</v>
      </c>
      <c r="N31" s="403" cm="1">
        <f t="array" ref="N31">IFERROR(INDEX('Autumn term 2025'!$AB$6:$AM$55,_xlfn.XMATCH(RIGHT(MFG!$A31,4)*1,'Autumn term 2025'!$AA$6:$AA$55),_xlfn.XMATCH(MFG!N$7,'Autumn term 2025'!$AB$5:$AM$5)),0)</f>
        <v>0</v>
      </c>
      <c r="O31" s="403" cm="1">
        <f t="array" ref="O31">IFERROR(INDEX('Autumn term 2025'!$AB$6:$AM$55,_xlfn.XMATCH(RIGHT(MFG!$A31,4)*1,'Autumn term 2025'!$AA$6:$AA$55),_xlfn.XMATCH(MFG!O$7,'Autumn term 2025'!$AB$5:$AM$5)),0)</f>
        <v>0</v>
      </c>
      <c r="P31" s="403" cm="1">
        <f t="array" ref="P31">IFERROR(INDEX('Autumn term 2025'!$AB$6:$AM$55,_xlfn.XMATCH(RIGHT(MFG!$A31,4)*1,'Autumn term 2025'!$AA$6:$AA$55),_xlfn.XMATCH(MFG!P$7,'Autumn term 2025'!$AB$5:$AM$5)),0)</f>
        <v>0</v>
      </c>
      <c r="Q31" s="404" cm="1">
        <f t="array" ref="Q31">IFERROR(INDEX('Autumn term 2025'!$AB$6:$AM$55,_xlfn.XMATCH(RIGHT(MFG!$A31,4)*1,'Autumn term 2025'!$AA$6:$AA$55),_xlfn.XMATCH(MFG!Q$7,'Autumn term 2025'!$AB$5:$AM$5)),0)</f>
        <v>0</v>
      </c>
      <c r="R31" s="412">
        <f>IF(VLOOKUP($A31,Data!$A$4:$I$81,9,FALSE)="PRI",G31*$G$2+H31*$H$2+I31*$I$2+J31*$J$2+K31*$K$2+L31*$L$2+M31*$M$2+N31*$N$2+O31*$O$2+P31*$P$2+Q31*$Q$2,G31*$G$3+H31*$H$3+I31*$I$3+J31*$J$3+K31*$K$3+L31*$L$3+M31*$M$3+N31*$N$3+O31*$O$3+P31*$P$3+Q31*$Q$3)</f>
        <v>0</v>
      </c>
      <c r="S31" s="145">
        <f>IF(VLOOKUP($A31,Data!$A$4:$I$81,9,FALSE)="PRI",G31*$G$4+H31*$H$4+I31*$I$4+J31*$J$4+K31*$K$4+L31*$L$4+M31*$M$4+N31*$N$4+O31*$O$4+P31*$P$4+Q31*$Q$4,G31*$G$5+H31*$H$5+I31*$I$5+J31*$J$5+K31*$K$5+L31*$L$5+M31*$M$5+N31*$N$5+O31*$O$5+P31*$P$5+Q31*$Q$5)</f>
        <v>0</v>
      </c>
      <c r="T31" s="229">
        <f>IFERROR(VLOOKUP(RIGHT($A31,4)*1,'Autumn term 2025'!$U$6:$X$16,3,FALSE),0)</f>
        <v>0</v>
      </c>
      <c r="U31" s="230">
        <f>IFERROR(VLOOKUP(RIGHT($A31,4)*1,'Autumn term 2025'!$U$6:$X$16,2,FALSE),0)</f>
        <v>0</v>
      </c>
      <c r="V31" s="231">
        <f>IF(VLOOKUP($A31,Data!$A$3:$I$81,9,FALSE)="Pri",T31*$T$2+U31*$U$2,T31*$T$3+U31*$U$3)</f>
        <v>0</v>
      </c>
      <c r="W31" s="232">
        <f>IF(VLOOKUP($A31,Data!$A$3:$I$81,9,FALSE)="Pri",T31*$T$4+U31*$U$4,T31*$T$5+U31*$U$5)</f>
        <v>0</v>
      </c>
      <c r="X31" s="235">
        <f t="shared" si="21"/>
        <v>0</v>
      </c>
      <c r="Y31" s="399">
        <f t="shared" si="22"/>
        <v>0</v>
      </c>
      <c r="Z31" s="234">
        <f t="shared" si="23"/>
        <v>0</v>
      </c>
      <c r="AA31" s="46">
        <f t="shared" si="24"/>
        <v>0</v>
      </c>
      <c r="AB31" s="400">
        <f t="shared" si="25"/>
        <v>0</v>
      </c>
      <c r="AC31" s="21">
        <f t="shared" si="26"/>
        <v>0</v>
      </c>
      <c r="AD31" s="11"/>
      <c r="AE31" s="11"/>
      <c r="AF31" s="146">
        <f>IFERROR(VLOOKUP(A31,'25-26 MFG'!A:D,3,FALSE),0)</f>
        <v>0</v>
      </c>
      <c r="AG31" s="75">
        <f>IFERROR(VLOOKUP(A31,'25-26 MFG'!A:D,4,FALSE),0)</f>
        <v>0</v>
      </c>
      <c r="AH31" s="224">
        <f t="shared" si="27"/>
        <v>0</v>
      </c>
    </row>
    <row r="32" spans="1:34">
      <c r="A32" s="7">
        <v>8502274</v>
      </c>
      <c r="B32" s="142" t="s">
        <v>158</v>
      </c>
      <c r="C32" s="16">
        <f>IFERROR(VLOOKUP(RIGHT($A32,4)*1,'Autumn term 2025'!$AA$6:$AM$57,12,FALSE),0)</f>
        <v>0</v>
      </c>
      <c r="D32" s="16">
        <f>SUMIF(APN!$A$3:$A$97,(RIGHT($A32,4)*1),APN!$K$3:$K$97)</f>
        <v>0</v>
      </c>
      <c r="E32" s="209">
        <f>D32*Values!$J$17</f>
        <v>0</v>
      </c>
      <c r="F32" s="410">
        <f t="shared" si="20"/>
        <v>0</v>
      </c>
      <c r="G32" s="402" cm="1">
        <f t="array" ref="G32">IFERROR(INDEX('Autumn term 2025'!$AB$6:$AM$55,_xlfn.XMATCH(RIGHT(MFG!$A32,4)*1,'Autumn term 2025'!$AA$6:$AA$55),_xlfn.XMATCH(MFG!G$7,'Autumn term 2025'!$AB$5:$AM$5)),0)</f>
        <v>0</v>
      </c>
      <c r="H32" s="403" cm="1">
        <f t="array" ref="H32">IFERROR(INDEX('Autumn term 2025'!$AB$6:$AM$55,_xlfn.XMATCH(RIGHT(MFG!$A32,4)*1,'Autumn term 2025'!$AA$6:$AA$55),_xlfn.XMATCH(MFG!H$7,'Autumn term 2025'!$AB$5:$AM$5)),0)</f>
        <v>0</v>
      </c>
      <c r="I32" s="403" cm="1">
        <f t="array" ref="I32">IFERROR(INDEX('Autumn term 2025'!$AB$6:$AM$55,_xlfn.XMATCH(RIGHT(MFG!$A32,4)*1,'Autumn term 2025'!$AA$6:$AA$55),_xlfn.XMATCH(MFG!I$7,'Autumn term 2025'!$AB$5:$AM$5)),0)</f>
        <v>0</v>
      </c>
      <c r="J32" s="403" cm="1">
        <f t="array" ref="J32">IFERROR(INDEX('Autumn term 2025'!$AB$6:$AM$55,_xlfn.XMATCH(RIGHT(MFG!$A32,4)*1,'Autumn term 2025'!$AA$6:$AA$55),_xlfn.XMATCH(MFG!J$7,'Autumn term 2025'!$AB$5:$AM$5)),0)</f>
        <v>0</v>
      </c>
      <c r="K32" s="403" cm="1">
        <f t="array" ref="K32">IFERROR(INDEX('Autumn term 2025'!$AB$6:$AM$55,_xlfn.XMATCH(RIGHT(MFG!$A32,4)*1,'Autumn term 2025'!$AA$6:$AA$55),_xlfn.XMATCH(MFG!K$7,'Autumn term 2025'!$AB$5:$AM$5)),0)</f>
        <v>0</v>
      </c>
      <c r="L32" s="403" cm="1">
        <f t="array" ref="L32">IFERROR(INDEX('Autumn term 2025'!$AB$6:$AM$55,_xlfn.XMATCH(RIGHT(MFG!$A32,4)*1,'Autumn term 2025'!$AA$6:$AA$55),_xlfn.XMATCH(MFG!L$7,'Autumn term 2025'!$AB$5:$AM$5)),0)</f>
        <v>0</v>
      </c>
      <c r="M32" s="403" cm="1">
        <f t="array" ref="M32">IFERROR(INDEX('Autumn term 2025'!$AB$6:$AM$55,_xlfn.XMATCH(RIGHT(MFG!$A32,4)*1,'Autumn term 2025'!$AA$6:$AA$55),_xlfn.XMATCH(MFG!M$7,'Autumn term 2025'!$AB$5:$AM$5)),0)</f>
        <v>0</v>
      </c>
      <c r="N32" s="403" cm="1">
        <f t="array" ref="N32">IFERROR(INDEX('Autumn term 2025'!$AB$6:$AM$55,_xlfn.XMATCH(RIGHT(MFG!$A32,4)*1,'Autumn term 2025'!$AA$6:$AA$55),_xlfn.XMATCH(MFG!N$7,'Autumn term 2025'!$AB$5:$AM$5)),0)</f>
        <v>0</v>
      </c>
      <c r="O32" s="403" cm="1">
        <f t="array" ref="O32">IFERROR(INDEX('Autumn term 2025'!$AB$6:$AM$55,_xlfn.XMATCH(RIGHT(MFG!$A32,4)*1,'Autumn term 2025'!$AA$6:$AA$55),_xlfn.XMATCH(MFG!O$7,'Autumn term 2025'!$AB$5:$AM$5)),0)</f>
        <v>0</v>
      </c>
      <c r="P32" s="403" cm="1">
        <f t="array" ref="P32">IFERROR(INDEX('Autumn term 2025'!$AB$6:$AM$55,_xlfn.XMATCH(RIGHT(MFG!$A32,4)*1,'Autumn term 2025'!$AA$6:$AA$55),_xlfn.XMATCH(MFG!P$7,'Autumn term 2025'!$AB$5:$AM$5)),0)</f>
        <v>0</v>
      </c>
      <c r="Q32" s="404" cm="1">
        <f t="array" ref="Q32">IFERROR(INDEX('Autumn term 2025'!$AB$6:$AM$55,_xlfn.XMATCH(RIGHT(MFG!$A32,4)*1,'Autumn term 2025'!$AA$6:$AA$55),_xlfn.XMATCH(MFG!Q$7,'Autumn term 2025'!$AB$5:$AM$5)),0)</f>
        <v>0</v>
      </c>
      <c r="R32" s="412">
        <f>IF(VLOOKUP($A32,Data!$A$4:$I$81,9,FALSE)="PRI",G32*$G$2+H32*$H$2+I32*$I$2+J32*$J$2+K32*$K$2+L32*$L$2+M32*$M$2+N32*$N$2+O32*$O$2+P32*$P$2+Q32*$Q$2,G32*$G$3+H32*$H$3+I32*$I$3+J32*$J$3+K32*$K$3+L32*$L$3+M32*$M$3+N32*$N$3+O32*$O$3+P32*$P$3+Q32*$Q$3)</f>
        <v>0</v>
      </c>
      <c r="S32" s="145">
        <f>IF(VLOOKUP($A32,Data!$A$4:$I$81,9,FALSE)="PRI",G32*$G$4+H32*$H$4+I32*$I$4+J32*$J$4+K32*$K$4+L32*$L$4+M32*$M$4+N32*$N$4+O32*$O$4+P32*$P$4+Q32*$Q$4,G32*$G$5+H32*$H$5+I32*$I$5+J32*$J$5+K32*$K$5+L32*$L$5+M32*$M$5+N32*$N$5+O32*$O$5+P32*$P$5+Q32*$Q$5)</f>
        <v>0</v>
      </c>
      <c r="T32" s="229">
        <f>IFERROR(VLOOKUP(RIGHT($A32,4)*1,'Autumn term 2025'!$U$6:$X$16,3,FALSE),0)</f>
        <v>0</v>
      </c>
      <c r="U32" s="230">
        <f>IFERROR(VLOOKUP(RIGHT($A32,4)*1,'Autumn term 2025'!$U$6:$X$16,2,FALSE),0)</f>
        <v>0</v>
      </c>
      <c r="V32" s="231">
        <f>IF(VLOOKUP($A32,Data!$A$3:$I$81,9,FALSE)="Pri",T32*$T$2+U32*$U$2,T32*$T$3+U32*$U$3)</f>
        <v>0</v>
      </c>
      <c r="W32" s="232">
        <f>IF(VLOOKUP($A32,Data!$A$3:$I$81,9,FALSE)="Pri",T32*$T$4+U32*$U$4,T32*$T$5+U32*$U$5)</f>
        <v>0</v>
      </c>
      <c r="X32" s="235">
        <f t="shared" si="21"/>
        <v>0</v>
      </c>
      <c r="Y32" s="399">
        <f t="shared" si="22"/>
        <v>0</v>
      </c>
      <c r="Z32" s="234">
        <f t="shared" si="23"/>
        <v>0</v>
      </c>
      <c r="AA32" s="46">
        <f t="shared" si="24"/>
        <v>0</v>
      </c>
      <c r="AB32" s="400">
        <f t="shared" si="25"/>
        <v>0</v>
      </c>
      <c r="AC32" s="21">
        <f t="shared" si="26"/>
        <v>0</v>
      </c>
      <c r="AD32" s="11"/>
      <c r="AE32" s="11"/>
      <c r="AF32" s="146">
        <f>IFERROR(VLOOKUP(A32,'25-26 MFG'!A:D,3,FALSE),0)</f>
        <v>0</v>
      </c>
      <c r="AG32" s="75">
        <f>IFERROR(VLOOKUP(A32,'25-26 MFG'!A:D,4,FALSE),0)</f>
        <v>0</v>
      </c>
      <c r="AH32" s="224">
        <f t="shared" si="27"/>
        <v>0</v>
      </c>
    </row>
    <row r="33" spans="1:34">
      <c r="A33" s="7">
        <v>8502310</v>
      </c>
      <c r="B33" s="142" t="s">
        <v>160</v>
      </c>
      <c r="C33" s="16">
        <f>IFERROR(VLOOKUP(RIGHT($A33,4)*1,'Autumn term 2025'!$AA$6:$AM$57,12,FALSE),0)</f>
        <v>0</v>
      </c>
      <c r="D33" s="16">
        <f>SUMIF(APN!$A$3:$A$97,(RIGHT($A33,4)*1),APN!$K$3:$K$97)</f>
        <v>0</v>
      </c>
      <c r="E33" s="209">
        <f>D33*Values!$J$17</f>
        <v>0</v>
      </c>
      <c r="F33" s="410">
        <f t="shared" si="20"/>
        <v>0</v>
      </c>
      <c r="G33" s="402" cm="1">
        <f t="array" ref="G33">IFERROR(INDEX('Autumn term 2025'!$AB$6:$AM$55,_xlfn.XMATCH(RIGHT(MFG!$A33,4)*1,'Autumn term 2025'!$AA$6:$AA$55),_xlfn.XMATCH(MFG!G$7,'Autumn term 2025'!$AB$5:$AM$5)),0)</f>
        <v>0</v>
      </c>
      <c r="H33" s="403" cm="1">
        <f t="array" ref="H33">IFERROR(INDEX('Autumn term 2025'!$AB$6:$AM$55,_xlfn.XMATCH(RIGHT(MFG!$A33,4)*1,'Autumn term 2025'!$AA$6:$AA$55),_xlfn.XMATCH(MFG!H$7,'Autumn term 2025'!$AB$5:$AM$5)),0)</f>
        <v>0</v>
      </c>
      <c r="I33" s="403" cm="1">
        <f t="array" ref="I33">IFERROR(INDEX('Autumn term 2025'!$AB$6:$AM$55,_xlfn.XMATCH(RIGHT(MFG!$A33,4)*1,'Autumn term 2025'!$AA$6:$AA$55),_xlfn.XMATCH(MFG!I$7,'Autumn term 2025'!$AB$5:$AM$5)),0)</f>
        <v>0</v>
      </c>
      <c r="J33" s="403" cm="1">
        <f t="array" ref="J33">IFERROR(INDEX('Autumn term 2025'!$AB$6:$AM$55,_xlfn.XMATCH(RIGHT(MFG!$A33,4)*1,'Autumn term 2025'!$AA$6:$AA$55),_xlfn.XMATCH(MFG!J$7,'Autumn term 2025'!$AB$5:$AM$5)),0)</f>
        <v>0</v>
      </c>
      <c r="K33" s="403" cm="1">
        <f t="array" ref="K33">IFERROR(INDEX('Autumn term 2025'!$AB$6:$AM$55,_xlfn.XMATCH(RIGHT(MFG!$A33,4)*1,'Autumn term 2025'!$AA$6:$AA$55),_xlfn.XMATCH(MFG!K$7,'Autumn term 2025'!$AB$5:$AM$5)),0)</f>
        <v>0</v>
      </c>
      <c r="L33" s="403" cm="1">
        <f t="array" ref="L33">IFERROR(INDEX('Autumn term 2025'!$AB$6:$AM$55,_xlfn.XMATCH(RIGHT(MFG!$A33,4)*1,'Autumn term 2025'!$AA$6:$AA$55),_xlfn.XMATCH(MFG!L$7,'Autumn term 2025'!$AB$5:$AM$5)),0)</f>
        <v>0</v>
      </c>
      <c r="M33" s="403" cm="1">
        <f t="array" ref="M33">IFERROR(INDEX('Autumn term 2025'!$AB$6:$AM$55,_xlfn.XMATCH(RIGHT(MFG!$A33,4)*1,'Autumn term 2025'!$AA$6:$AA$55),_xlfn.XMATCH(MFG!M$7,'Autumn term 2025'!$AB$5:$AM$5)),0)</f>
        <v>0</v>
      </c>
      <c r="N33" s="403" cm="1">
        <f t="array" ref="N33">IFERROR(INDEX('Autumn term 2025'!$AB$6:$AM$55,_xlfn.XMATCH(RIGHT(MFG!$A33,4)*1,'Autumn term 2025'!$AA$6:$AA$55),_xlfn.XMATCH(MFG!N$7,'Autumn term 2025'!$AB$5:$AM$5)),0)</f>
        <v>0</v>
      </c>
      <c r="O33" s="403" cm="1">
        <f t="array" ref="O33">IFERROR(INDEX('Autumn term 2025'!$AB$6:$AM$55,_xlfn.XMATCH(RIGHT(MFG!$A33,4)*1,'Autumn term 2025'!$AA$6:$AA$55),_xlfn.XMATCH(MFG!O$7,'Autumn term 2025'!$AB$5:$AM$5)),0)</f>
        <v>0</v>
      </c>
      <c r="P33" s="403" cm="1">
        <f t="array" ref="P33">IFERROR(INDEX('Autumn term 2025'!$AB$6:$AM$55,_xlfn.XMATCH(RIGHT(MFG!$A33,4)*1,'Autumn term 2025'!$AA$6:$AA$55),_xlfn.XMATCH(MFG!P$7,'Autumn term 2025'!$AB$5:$AM$5)),0)</f>
        <v>0</v>
      </c>
      <c r="Q33" s="404" cm="1">
        <f t="array" ref="Q33">IFERROR(INDEX('Autumn term 2025'!$AB$6:$AM$55,_xlfn.XMATCH(RIGHT(MFG!$A33,4)*1,'Autumn term 2025'!$AA$6:$AA$55),_xlfn.XMATCH(MFG!Q$7,'Autumn term 2025'!$AB$5:$AM$5)),0)</f>
        <v>0</v>
      </c>
      <c r="R33" s="412">
        <f>IF(VLOOKUP($A33,Data!$A$4:$I$81,9,FALSE)="PRI",G33*$G$2+H33*$H$2+I33*$I$2+J33*$J$2+K33*$K$2+L33*$L$2+M33*$M$2+N33*$N$2+O33*$O$2+P33*$P$2+Q33*$Q$2,G33*$G$3+H33*$H$3+I33*$I$3+J33*$J$3+K33*$K$3+L33*$L$3+M33*$M$3+N33*$N$3+O33*$O$3+P33*$P$3+Q33*$Q$3)</f>
        <v>0</v>
      </c>
      <c r="S33" s="145">
        <f>IF(VLOOKUP($A33,Data!$A$4:$I$81,9,FALSE)="PRI",G33*$G$4+H33*$H$4+I33*$I$4+J33*$J$4+K33*$K$4+L33*$L$4+M33*$M$4+N33*$N$4+O33*$O$4+P33*$P$4+Q33*$Q$4,G33*$G$5+H33*$H$5+I33*$I$5+J33*$J$5+K33*$K$5+L33*$L$5+M33*$M$5+N33*$N$5+O33*$O$5+P33*$P$5+Q33*$Q$5)</f>
        <v>0</v>
      </c>
      <c r="T33" s="229">
        <f>IFERROR(VLOOKUP(RIGHT($A33,4)*1,'Autumn term 2025'!$U$6:$X$16,3,FALSE),0)</f>
        <v>0</v>
      </c>
      <c r="U33" s="230">
        <f>IFERROR(VLOOKUP(RIGHT($A33,4)*1,'Autumn term 2025'!$U$6:$X$16,2,FALSE),0)</f>
        <v>0</v>
      </c>
      <c r="V33" s="231">
        <f>IF(VLOOKUP($A33,Data!$A$3:$I$81,9,FALSE)="Pri",T33*$T$2+U33*$U$2,T33*$T$3+U33*$U$3)</f>
        <v>0</v>
      </c>
      <c r="W33" s="232">
        <f>IF(VLOOKUP($A33,Data!$A$3:$I$81,9,FALSE)="Pri",T33*$T$4+U33*$U$4,T33*$T$5+U33*$U$5)</f>
        <v>0</v>
      </c>
      <c r="X33" s="235">
        <f t="shared" si="21"/>
        <v>0</v>
      </c>
      <c r="Y33" s="399">
        <f t="shared" si="22"/>
        <v>0</v>
      </c>
      <c r="Z33" s="234">
        <f t="shared" si="23"/>
        <v>0</v>
      </c>
      <c r="AA33" s="46">
        <f t="shared" si="24"/>
        <v>0</v>
      </c>
      <c r="AB33" s="400">
        <f t="shared" si="25"/>
        <v>0</v>
      </c>
      <c r="AC33" s="21">
        <f t="shared" si="26"/>
        <v>0</v>
      </c>
      <c r="AD33" s="11"/>
      <c r="AE33" s="11"/>
      <c r="AF33" s="146">
        <f>IFERROR(VLOOKUP(A33,'25-26 MFG'!A:D,3,FALSE),0)</f>
        <v>0</v>
      </c>
      <c r="AG33" s="75">
        <f>IFERROR(VLOOKUP(A33,'25-26 MFG'!A:D,4,FALSE),0)</f>
        <v>0</v>
      </c>
      <c r="AH33" s="224">
        <f t="shared" si="27"/>
        <v>0</v>
      </c>
    </row>
    <row r="34" spans="1:34">
      <c r="A34" s="7">
        <v>8502321</v>
      </c>
      <c r="B34" s="142" t="s">
        <v>161</v>
      </c>
      <c r="C34" s="16">
        <f>IFERROR(VLOOKUP(RIGHT($A34,4)*1,'Autumn term 2025'!$AA$6:$AM$57,12,FALSE),0)</f>
        <v>0</v>
      </c>
      <c r="D34" s="16">
        <f>SUMIF(APN!$A$3:$A$97,(RIGHT($A34,4)*1),APN!$K$3:$K$97)</f>
        <v>0</v>
      </c>
      <c r="E34" s="209">
        <f>D34*Values!$J$17</f>
        <v>0</v>
      </c>
      <c r="F34" s="410">
        <f t="shared" si="20"/>
        <v>0</v>
      </c>
      <c r="G34" s="402" cm="1">
        <f t="array" ref="G34">IFERROR(INDEX('Autumn term 2025'!$AB$6:$AM$55,_xlfn.XMATCH(RIGHT(MFG!$A34,4)*1,'Autumn term 2025'!$AA$6:$AA$55),_xlfn.XMATCH(MFG!G$7,'Autumn term 2025'!$AB$5:$AM$5)),0)</f>
        <v>0</v>
      </c>
      <c r="H34" s="403" cm="1">
        <f t="array" ref="H34">IFERROR(INDEX('Autumn term 2025'!$AB$6:$AM$55,_xlfn.XMATCH(RIGHT(MFG!$A34,4)*1,'Autumn term 2025'!$AA$6:$AA$55),_xlfn.XMATCH(MFG!H$7,'Autumn term 2025'!$AB$5:$AM$5)),0)</f>
        <v>0</v>
      </c>
      <c r="I34" s="403" cm="1">
        <f t="array" ref="I34">IFERROR(INDEX('Autumn term 2025'!$AB$6:$AM$55,_xlfn.XMATCH(RIGHT(MFG!$A34,4)*1,'Autumn term 2025'!$AA$6:$AA$55),_xlfn.XMATCH(MFG!I$7,'Autumn term 2025'!$AB$5:$AM$5)),0)</f>
        <v>0</v>
      </c>
      <c r="J34" s="403" cm="1">
        <f t="array" ref="J34">IFERROR(INDEX('Autumn term 2025'!$AB$6:$AM$55,_xlfn.XMATCH(RIGHT(MFG!$A34,4)*1,'Autumn term 2025'!$AA$6:$AA$55),_xlfn.XMATCH(MFG!J$7,'Autumn term 2025'!$AB$5:$AM$5)),0)</f>
        <v>0</v>
      </c>
      <c r="K34" s="403" cm="1">
        <f t="array" ref="K34">IFERROR(INDEX('Autumn term 2025'!$AB$6:$AM$55,_xlfn.XMATCH(RIGHT(MFG!$A34,4)*1,'Autumn term 2025'!$AA$6:$AA$55),_xlfn.XMATCH(MFG!K$7,'Autumn term 2025'!$AB$5:$AM$5)),0)</f>
        <v>0</v>
      </c>
      <c r="L34" s="403" cm="1">
        <f t="array" ref="L34">IFERROR(INDEX('Autumn term 2025'!$AB$6:$AM$55,_xlfn.XMATCH(RIGHT(MFG!$A34,4)*1,'Autumn term 2025'!$AA$6:$AA$55),_xlfn.XMATCH(MFG!L$7,'Autumn term 2025'!$AB$5:$AM$5)),0)</f>
        <v>0</v>
      </c>
      <c r="M34" s="403" cm="1">
        <f t="array" ref="M34">IFERROR(INDEX('Autumn term 2025'!$AB$6:$AM$55,_xlfn.XMATCH(RIGHT(MFG!$A34,4)*1,'Autumn term 2025'!$AA$6:$AA$55),_xlfn.XMATCH(MFG!M$7,'Autumn term 2025'!$AB$5:$AM$5)),0)</f>
        <v>0</v>
      </c>
      <c r="N34" s="403" cm="1">
        <f t="array" ref="N34">IFERROR(INDEX('Autumn term 2025'!$AB$6:$AM$55,_xlfn.XMATCH(RIGHT(MFG!$A34,4)*1,'Autumn term 2025'!$AA$6:$AA$55),_xlfn.XMATCH(MFG!N$7,'Autumn term 2025'!$AB$5:$AM$5)),0)</f>
        <v>0</v>
      </c>
      <c r="O34" s="403" cm="1">
        <f t="array" ref="O34">IFERROR(INDEX('Autumn term 2025'!$AB$6:$AM$55,_xlfn.XMATCH(RIGHT(MFG!$A34,4)*1,'Autumn term 2025'!$AA$6:$AA$55),_xlfn.XMATCH(MFG!O$7,'Autumn term 2025'!$AB$5:$AM$5)),0)</f>
        <v>0</v>
      </c>
      <c r="P34" s="403" cm="1">
        <f t="array" ref="P34">IFERROR(INDEX('Autumn term 2025'!$AB$6:$AM$55,_xlfn.XMATCH(RIGHT(MFG!$A34,4)*1,'Autumn term 2025'!$AA$6:$AA$55),_xlfn.XMATCH(MFG!P$7,'Autumn term 2025'!$AB$5:$AM$5)),0)</f>
        <v>0</v>
      </c>
      <c r="Q34" s="404" cm="1">
        <f t="array" ref="Q34">IFERROR(INDEX('Autumn term 2025'!$AB$6:$AM$55,_xlfn.XMATCH(RIGHT(MFG!$A34,4)*1,'Autumn term 2025'!$AA$6:$AA$55),_xlfn.XMATCH(MFG!Q$7,'Autumn term 2025'!$AB$5:$AM$5)),0)</f>
        <v>0</v>
      </c>
      <c r="R34" s="412">
        <f>IF(VLOOKUP($A34,Data!$A$4:$I$81,9,FALSE)="PRI",G34*$G$2+H34*$H$2+I34*$I$2+J34*$J$2+K34*$K$2+L34*$L$2+M34*$M$2+N34*$N$2+O34*$O$2+P34*$P$2+Q34*$Q$2,G34*$G$3+H34*$H$3+I34*$I$3+J34*$J$3+K34*$K$3+L34*$L$3+M34*$M$3+N34*$N$3+O34*$O$3+P34*$P$3+Q34*$Q$3)</f>
        <v>0</v>
      </c>
      <c r="S34" s="145">
        <f>IF(VLOOKUP($A34,Data!$A$4:$I$81,9,FALSE)="PRI",G34*$G$4+H34*$H$4+I34*$I$4+J34*$J$4+K34*$K$4+L34*$L$4+M34*$M$4+N34*$N$4+O34*$O$4+P34*$P$4+Q34*$Q$4,G34*$G$5+H34*$H$5+I34*$I$5+J34*$J$5+K34*$K$5+L34*$L$5+M34*$M$5+N34*$N$5+O34*$O$5+P34*$P$5+Q34*$Q$5)</f>
        <v>0</v>
      </c>
      <c r="T34" s="229">
        <f>IFERROR(VLOOKUP(RIGHT($A34,4)*1,'Autumn term 2025'!$U$6:$X$16,3,FALSE),0)</f>
        <v>0</v>
      </c>
      <c r="U34" s="230">
        <f>IFERROR(VLOOKUP(RIGHT($A34,4)*1,'Autumn term 2025'!$U$6:$X$16,2,FALSE),0)</f>
        <v>0</v>
      </c>
      <c r="V34" s="231">
        <f>IF(VLOOKUP($A34,Data!$A$3:$I$81,9,FALSE)="Pri",T34*$T$2+U34*$U$2,T34*$T$3+U34*$U$3)</f>
        <v>0</v>
      </c>
      <c r="W34" s="232">
        <f>IF(VLOOKUP($A34,Data!$A$3:$I$81,9,FALSE)="Pri",T34*$T$4+U34*$U$4,T34*$T$5+U34*$U$5)</f>
        <v>0</v>
      </c>
      <c r="X34" s="235">
        <f t="shared" si="21"/>
        <v>0</v>
      </c>
      <c r="Y34" s="399">
        <f t="shared" si="22"/>
        <v>0</v>
      </c>
      <c r="Z34" s="234">
        <f t="shared" si="23"/>
        <v>0</v>
      </c>
      <c r="AA34" s="46">
        <f t="shared" si="24"/>
        <v>0</v>
      </c>
      <c r="AB34" s="400">
        <f t="shared" si="25"/>
        <v>0</v>
      </c>
      <c r="AC34" s="21">
        <f t="shared" si="26"/>
        <v>0</v>
      </c>
      <c r="AD34" s="11"/>
      <c r="AE34" s="11"/>
      <c r="AF34" s="146">
        <f>IFERROR(VLOOKUP(A34,'25-26 MFG'!A:D,3,FALSE),0)</f>
        <v>0</v>
      </c>
      <c r="AG34" s="75">
        <f>IFERROR(VLOOKUP(A34,'25-26 MFG'!A:D,4,FALSE),0)</f>
        <v>0</v>
      </c>
      <c r="AH34" s="224">
        <f t="shared" si="27"/>
        <v>0</v>
      </c>
    </row>
    <row r="35" spans="1:34">
      <c r="A35" s="7">
        <v>8502339</v>
      </c>
      <c r="B35" s="142" t="s">
        <v>162</v>
      </c>
      <c r="C35" s="16">
        <f>IFERROR(VLOOKUP(RIGHT($A35,4)*1,'Autumn term 2025'!$AA$6:$AM$57,12,FALSE),0)</f>
        <v>2</v>
      </c>
      <c r="D35" s="16">
        <f>SUMIF(APN!$A$3:$A$97,(RIGHT($A35,4)*1),APN!$K$3:$K$97)</f>
        <v>3.5</v>
      </c>
      <c r="E35" s="209">
        <f>D35*Values!$J$17</f>
        <v>21000</v>
      </c>
      <c r="F35" s="410">
        <f t="shared" si="20"/>
        <v>21000</v>
      </c>
      <c r="G35" s="402" cm="1">
        <f t="array" ref="G35">IFERROR(INDEX('Autumn term 2025'!$AB$6:$AM$55,_xlfn.XMATCH(RIGHT(MFG!$A35,4)*1,'Autumn term 2025'!$AA$6:$AA$55),_xlfn.XMATCH(MFG!G$7,'Autumn term 2025'!$AB$5:$AM$5)),0)</f>
        <v>2</v>
      </c>
      <c r="H35" s="403" cm="1">
        <f t="array" ref="H35">IFERROR(INDEX('Autumn term 2025'!$AB$6:$AM$55,_xlfn.XMATCH(RIGHT(MFG!$A35,4)*1,'Autumn term 2025'!$AA$6:$AA$55),_xlfn.XMATCH(MFG!H$7,'Autumn term 2025'!$AB$5:$AM$5)),0)</f>
        <v>0</v>
      </c>
      <c r="I35" s="403" cm="1">
        <f t="array" ref="I35">IFERROR(INDEX('Autumn term 2025'!$AB$6:$AM$55,_xlfn.XMATCH(RIGHT(MFG!$A35,4)*1,'Autumn term 2025'!$AA$6:$AA$55),_xlfn.XMATCH(MFG!I$7,'Autumn term 2025'!$AB$5:$AM$5)),0)</f>
        <v>0</v>
      </c>
      <c r="J35" s="403" cm="1">
        <f t="array" ref="J35">IFERROR(INDEX('Autumn term 2025'!$AB$6:$AM$55,_xlfn.XMATCH(RIGHT(MFG!$A35,4)*1,'Autumn term 2025'!$AA$6:$AA$55),_xlfn.XMATCH(MFG!J$7,'Autumn term 2025'!$AB$5:$AM$5)),0)</f>
        <v>0</v>
      </c>
      <c r="K35" s="403" cm="1">
        <f t="array" ref="K35">IFERROR(INDEX('Autumn term 2025'!$AB$6:$AM$55,_xlfn.XMATCH(RIGHT(MFG!$A35,4)*1,'Autumn term 2025'!$AA$6:$AA$55),_xlfn.XMATCH(MFG!K$7,'Autumn term 2025'!$AB$5:$AM$5)),0)</f>
        <v>0</v>
      </c>
      <c r="L35" s="403" cm="1">
        <f t="array" ref="L35">IFERROR(INDEX('Autumn term 2025'!$AB$6:$AM$55,_xlfn.XMATCH(RIGHT(MFG!$A35,4)*1,'Autumn term 2025'!$AA$6:$AA$55),_xlfn.XMATCH(MFG!L$7,'Autumn term 2025'!$AB$5:$AM$5)),0)</f>
        <v>0</v>
      </c>
      <c r="M35" s="403" cm="1">
        <f t="array" ref="M35">IFERROR(INDEX('Autumn term 2025'!$AB$6:$AM$55,_xlfn.XMATCH(RIGHT(MFG!$A35,4)*1,'Autumn term 2025'!$AA$6:$AA$55),_xlfn.XMATCH(MFG!M$7,'Autumn term 2025'!$AB$5:$AM$5)),0)</f>
        <v>0</v>
      </c>
      <c r="N35" s="403" cm="1">
        <f t="array" ref="N35">IFERROR(INDEX('Autumn term 2025'!$AB$6:$AM$55,_xlfn.XMATCH(RIGHT(MFG!$A35,4)*1,'Autumn term 2025'!$AA$6:$AA$55),_xlfn.XMATCH(MFG!N$7,'Autumn term 2025'!$AB$5:$AM$5)),0)</f>
        <v>0</v>
      </c>
      <c r="O35" s="403" cm="1">
        <f t="array" ref="O35">IFERROR(INDEX('Autumn term 2025'!$AB$6:$AM$55,_xlfn.XMATCH(RIGHT(MFG!$A35,4)*1,'Autumn term 2025'!$AA$6:$AA$55),_xlfn.XMATCH(MFG!O$7,'Autumn term 2025'!$AB$5:$AM$5)),0)</f>
        <v>0</v>
      </c>
      <c r="P35" s="403" cm="1">
        <f t="array" ref="P35">IFERROR(INDEX('Autumn term 2025'!$AB$6:$AM$55,_xlfn.XMATCH(RIGHT(MFG!$A35,4)*1,'Autumn term 2025'!$AA$6:$AA$55),_xlfn.XMATCH(MFG!P$7,'Autumn term 2025'!$AB$5:$AM$5)),0)</f>
        <v>0</v>
      </c>
      <c r="Q35" s="404" cm="1">
        <f t="array" ref="Q35">IFERROR(INDEX('Autumn term 2025'!$AB$6:$AM$55,_xlfn.XMATCH(RIGHT(MFG!$A35,4)*1,'Autumn term 2025'!$AA$6:$AA$55),_xlfn.XMATCH(MFG!Q$7,'Autumn term 2025'!$AB$5:$AM$5)),0)</f>
        <v>0</v>
      </c>
      <c r="R35" s="412">
        <f>IF(VLOOKUP($A35,Data!$A$4:$I$81,9,FALSE)="PRI",G35*$G$2+H35*$H$2+I35*$I$2+J35*$J$2+K35*$K$2+L35*$L$2+M35*$M$2+N35*$N$2+O35*$O$2+P35*$P$2+Q35*$Q$2,G35*$G$3+H35*$H$3+I35*$I$3+J35*$J$3+K35*$K$3+L35*$L$3+M35*$M$3+N35*$N$3+O35*$O$3+P35*$P$3+Q35*$Q$3)</f>
        <v>21512</v>
      </c>
      <c r="S35" s="145">
        <f>IF(VLOOKUP($A35,Data!$A$4:$I$81,9,FALSE)="PRI",G35*$G$4+H35*$H$4+I35*$I$4+J35*$J$4+K35*$K$4+L35*$L$4+M35*$M$4+N35*$N$4+O35*$O$4+P35*$P$4+Q35*$Q$4,G35*$G$5+H35*$H$5+I35*$I$5+J35*$J$5+K35*$K$5+L35*$L$5+M35*$M$5+N35*$N$5+O35*$O$5+P35*$P$5+Q35*$Q$5)</f>
        <v>22216</v>
      </c>
      <c r="T35" s="229">
        <f>IFERROR(VLOOKUP(RIGHT($A35,4)*1,'Autumn term 2025'!$U$6:$X$16,3,FALSE),0)</f>
        <v>0</v>
      </c>
      <c r="U35" s="230">
        <f>IFERROR(VLOOKUP(RIGHT($A35,4)*1,'Autumn term 2025'!$U$6:$X$16,2,FALSE),0)</f>
        <v>0</v>
      </c>
      <c r="V35" s="231">
        <f>IF(VLOOKUP($A35,Data!$A$3:$I$81,9,FALSE)="Pri",T35*$T$2+U35*$U$2,T35*$T$3+U35*$U$3)</f>
        <v>0</v>
      </c>
      <c r="W35" s="232">
        <f>IF(VLOOKUP($A35,Data!$A$3:$I$81,9,FALSE)="Pri",T35*$T$4+U35*$U$4,T35*$T$5+U35*$U$5)</f>
        <v>0</v>
      </c>
      <c r="X35" s="235">
        <f t="shared" si="21"/>
        <v>0</v>
      </c>
      <c r="Y35" s="399">
        <f t="shared" si="22"/>
        <v>42512</v>
      </c>
      <c r="Z35" s="234">
        <f t="shared" si="23"/>
        <v>42512</v>
      </c>
      <c r="AA35" s="46">
        <f t="shared" si="24"/>
        <v>43216</v>
      </c>
      <c r="AB35" s="400">
        <f t="shared" si="25"/>
        <v>0</v>
      </c>
      <c r="AC35" s="21">
        <f t="shared" si="26"/>
        <v>0</v>
      </c>
      <c r="AD35" s="11"/>
      <c r="AE35" s="11"/>
      <c r="AF35" s="146">
        <f>IFERROR(VLOOKUP(A35,'25-26 MFG'!A:D,3,FALSE),0)</f>
        <v>0</v>
      </c>
      <c r="AG35" s="75">
        <f>IFERROR(VLOOKUP(A35,'25-26 MFG'!A:D,4,FALSE),0)</f>
        <v>0</v>
      </c>
      <c r="AH35" s="224">
        <f t="shared" si="27"/>
        <v>0</v>
      </c>
    </row>
    <row r="36" spans="1:34">
      <c r="A36" s="8">
        <v>8502347</v>
      </c>
      <c r="B36" s="142" t="s">
        <v>15</v>
      </c>
      <c r="C36" s="16">
        <f>IFERROR(VLOOKUP(RIGHT($A36,4)*1,'Autumn term 2025'!$AA$6:$AM$57,12,FALSE),0)</f>
        <v>10</v>
      </c>
      <c r="D36" s="16">
        <f>SUMIF(APN!$A$3:$A$97,(RIGHT($A36,4)*1),APN!$K$3:$K$97)</f>
        <v>9</v>
      </c>
      <c r="E36" s="209">
        <f>D36*Values!$J$17</f>
        <v>54000</v>
      </c>
      <c r="F36" s="410">
        <f t="shared" si="20"/>
        <v>54000</v>
      </c>
      <c r="G36" s="402" cm="1">
        <f t="array" ref="G36">IFERROR(INDEX('Autumn term 2025'!$AB$6:$AM$55,_xlfn.XMATCH(RIGHT(MFG!$A36,4)*1,'Autumn term 2025'!$AA$6:$AA$55),_xlfn.XMATCH(MFG!G$7,'Autumn term 2025'!$AB$5:$AM$5)),0)</f>
        <v>0</v>
      </c>
      <c r="H36" s="403" cm="1">
        <f t="array" ref="H36">IFERROR(INDEX('Autumn term 2025'!$AB$6:$AM$55,_xlfn.XMATCH(RIGHT(MFG!$A36,4)*1,'Autumn term 2025'!$AA$6:$AA$55),_xlfn.XMATCH(MFG!H$7,'Autumn term 2025'!$AB$5:$AM$5)),0)</f>
        <v>0</v>
      </c>
      <c r="I36" s="403" cm="1">
        <f t="array" ref="I36">IFERROR(INDEX('Autumn term 2025'!$AB$6:$AM$55,_xlfn.XMATCH(RIGHT(MFG!$A36,4)*1,'Autumn term 2025'!$AA$6:$AA$55),_xlfn.XMATCH(MFG!I$7,'Autumn term 2025'!$AB$5:$AM$5)),0)</f>
        <v>0</v>
      </c>
      <c r="J36" s="403" cm="1">
        <f t="array" ref="J36">IFERROR(INDEX('Autumn term 2025'!$AB$6:$AM$55,_xlfn.XMATCH(RIGHT(MFG!$A36,4)*1,'Autumn term 2025'!$AA$6:$AA$55),_xlfn.XMATCH(MFG!J$7,'Autumn term 2025'!$AB$5:$AM$5)),0)</f>
        <v>0</v>
      </c>
      <c r="K36" s="403" cm="1">
        <f t="array" ref="K36">IFERROR(INDEX('Autumn term 2025'!$AB$6:$AM$55,_xlfn.XMATCH(RIGHT(MFG!$A36,4)*1,'Autumn term 2025'!$AA$6:$AA$55),_xlfn.XMATCH(MFG!K$7,'Autumn term 2025'!$AB$5:$AM$5)),0)</f>
        <v>0</v>
      </c>
      <c r="L36" s="403" cm="1">
        <f t="array" ref="L36">IFERROR(INDEX('Autumn term 2025'!$AB$6:$AM$55,_xlfn.XMATCH(RIGHT(MFG!$A36,4)*1,'Autumn term 2025'!$AA$6:$AA$55),_xlfn.XMATCH(MFG!L$7,'Autumn term 2025'!$AB$5:$AM$5)),0)</f>
        <v>0</v>
      </c>
      <c r="M36" s="403" cm="1">
        <f t="array" ref="M36">IFERROR(INDEX('Autumn term 2025'!$AB$6:$AM$55,_xlfn.XMATCH(RIGHT(MFG!$A36,4)*1,'Autumn term 2025'!$AA$6:$AA$55),_xlfn.XMATCH(MFG!M$7,'Autumn term 2025'!$AB$5:$AM$5)),0)</f>
        <v>0</v>
      </c>
      <c r="N36" s="403" cm="1">
        <f t="array" ref="N36">IFERROR(INDEX('Autumn term 2025'!$AB$6:$AM$55,_xlfn.XMATCH(RIGHT(MFG!$A36,4)*1,'Autumn term 2025'!$AA$6:$AA$55),_xlfn.XMATCH(MFG!N$7,'Autumn term 2025'!$AB$5:$AM$5)),0)</f>
        <v>0</v>
      </c>
      <c r="O36" s="403" cm="1">
        <f t="array" ref="O36">IFERROR(INDEX('Autumn term 2025'!$AB$6:$AM$55,_xlfn.XMATCH(RIGHT(MFG!$A36,4)*1,'Autumn term 2025'!$AA$6:$AA$55),_xlfn.XMATCH(MFG!O$7,'Autumn term 2025'!$AB$5:$AM$5)),0)</f>
        <v>0</v>
      </c>
      <c r="P36" s="403" cm="1">
        <f t="array" ref="P36">IFERROR(INDEX('Autumn term 2025'!$AB$6:$AM$55,_xlfn.XMATCH(RIGHT(MFG!$A36,4)*1,'Autumn term 2025'!$AA$6:$AA$55),_xlfn.XMATCH(MFG!P$7,'Autumn term 2025'!$AB$5:$AM$5)),0)</f>
        <v>0</v>
      </c>
      <c r="Q36" s="404" cm="1">
        <f t="array" ref="Q36">IFERROR(INDEX('Autumn term 2025'!$AB$6:$AM$55,_xlfn.XMATCH(RIGHT(MFG!$A36,4)*1,'Autumn term 2025'!$AA$6:$AA$55),_xlfn.XMATCH(MFG!Q$7,'Autumn term 2025'!$AB$5:$AM$5)),0)</f>
        <v>10</v>
      </c>
      <c r="R36" s="412">
        <f>IF(VLOOKUP($A36,Data!$A$4:$I$81,9,FALSE)="PRI",G36*$G$2+H36*$H$2+I36*$I$2+J36*$J$2+K36*$K$2+L36*$L$2+M36*$M$2+N36*$N$2+O36*$O$2+P36*$P$2+Q36*$Q$2,G36*$G$3+H36*$H$3+I36*$I$3+J36*$J$3+K36*$K$3+L36*$L$3+M36*$M$3+N36*$N$3+O36*$O$3+P36*$P$3+Q36*$Q$3)</f>
        <v>133580</v>
      </c>
      <c r="S36" s="145">
        <f>IF(VLOOKUP($A36,Data!$A$4:$I$81,9,FALSE)="PRI",G36*$G$4+H36*$H$4+I36*$I$4+J36*$J$4+K36*$K$4+L36*$L$4+M36*$M$4+N36*$N$4+O36*$O$4+P36*$P$4+Q36*$Q$4,G36*$G$5+H36*$H$5+I36*$I$5+J36*$J$5+K36*$K$5+L36*$L$5+M36*$M$5+N36*$N$5+O36*$O$5+P36*$P$5+Q36*$Q$5)</f>
        <v>137650</v>
      </c>
      <c r="T36" s="229">
        <f>IFERROR(VLOOKUP(RIGHT($A36,4)*1,'Autumn term 2025'!$U$6:$X$16,3,FALSE),0)</f>
        <v>6</v>
      </c>
      <c r="U36" s="230">
        <f>IFERROR(VLOOKUP(RIGHT($A36,4)*1,'Autumn term 2025'!$U$6:$X$16,2,FALSE),0)</f>
        <v>0</v>
      </c>
      <c r="V36" s="231">
        <f>IF(VLOOKUP($A36,Data!$A$3:$I$81,9,FALSE)="Pri",T36*$T$2+U36*$U$2,T36*$T$3+U36*$U$3)</f>
        <v>38976</v>
      </c>
      <c r="W36" s="232">
        <f>IF(VLOOKUP($A36,Data!$A$3:$I$81,9,FALSE)="Pri",T36*$T$4+U36*$U$4,T36*$T$5+U36*$U$5)</f>
        <v>39798</v>
      </c>
      <c r="X36" s="235">
        <f t="shared" si="21"/>
        <v>0</v>
      </c>
      <c r="Y36" s="399">
        <f t="shared" si="22"/>
        <v>226556</v>
      </c>
      <c r="Z36" s="234">
        <f t="shared" si="23"/>
        <v>226556</v>
      </c>
      <c r="AA36" s="46">
        <f t="shared" si="24"/>
        <v>231448</v>
      </c>
      <c r="AB36" s="400">
        <f t="shared" si="25"/>
        <v>0</v>
      </c>
      <c r="AC36" s="21">
        <f t="shared" si="26"/>
        <v>0</v>
      </c>
      <c r="AD36" s="11"/>
      <c r="AE36" s="11"/>
      <c r="AF36" s="146">
        <f>IFERROR(VLOOKUP(A36,'25-26 MFG'!A:D,3,FALSE),0)</f>
        <v>0</v>
      </c>
      <c r="AG36" s="75">
        <f>IFERROR(VLOOKUP(A36,'25-26 MFG'!A:D,4,FALSE),0)</f>
        <v>0</v>
      </c>
      <c r="AH36" s="224">
        <f t="shared" si="27"/>
        <v>0</v>
      </c>
    </row>
    <row r="37" spans="1:34">
      <c r="A37" s="7">
        <v>8502377</v>
      </c>
      <c r="B37" s="142" t="s">
        <v>16</v>
      </c>
      <c r="C37" s="16">
        <f>IFERROR(VLOOKUP(RIGHT($A37,4)*1,'Autumn term 2025'!$AA$6:$AM$57,12,FALSE),0)</f>
        <v>10</v>
      </c>
      <c r="D37" s="16">
        <f>SUMIF(APN!$A$3:$A$97,(RIGHT($A37,4)*1),APN!$K$3:$K$97)</f>
        <v>10</v>
      </c>
      <c r="E37" s="209">
        <f>D37*Values!$J$17</f>
        <v>60000</v>
      </c>
      <c r="F37" s="410">
        <f t="shared" si="20"/>
        <v>60000</v>
      </c>
      <c r="G37" s="402" cm="1">
        <f t="array" ref="G37">IFERROR(INDEX('Autumn term 2025'!$AB$6:$AM$55,_xlfn.XMATCH(RIGHT(MFG!$A37,4)*1,'Autumn term 2025'!$AA$6:$AA$55),_xlfn.XMATCH(MFG!G$7,'Autumn term 2025'!$AB$5:$AM$5)),0)</f>
        <v>0</v>
      </c>
      <c r="H37" s="403" cm="1">
        <f t="array" ref="H37">IFERROR(INDEX('Autumn term 2025'!$AB$6:$AM$55,_xlfn.XMATCH(RIGHT(MFG!$A37,4)*1,'Autumn term 2025'!$AA$6:$AA$55),_xlfn.XMATCH(MFG!H$7,'Autumn term 2025'!$AB$5:$AM$5)),0)</f>
        <v>0</v>
      </c>
      <c r="I37" s="403" cm="1">
        <f t="array" ref="I37">IFERROR(INDEX('Autumn term 2025'!$AB$6:$AM$55,_xlfn.XMATCH(RIGHT(MFG!$A37,4)*1,'Autumn term 2025'!$AA$6:$AA$55),_xlfn.XMATCH(MFG!I$7,'Autumn term 2025'!$AB$5:$AM$5)),0)</f>
        <v>10</v>
      </c>
      <c r="J37" s="403" cm="1">
        <f t="array" ref="J37">IFERROR(INDEX('Autumn term 2025'!$AB$6:$AM$55,_xlfn.XMATCH(RIGHT(MFG!$A37,4)*1,'Autumn term 2025'!$AA$6:$AA$55),_xlfn.XMATCH(MFG!J$7,'Autumn term 2025'!$AB$5:$AM$5)),0)</f>
        <v>0</v>
      </c>
      <c r="K37" s="403" cm="1">
        <f t="array" ref="K37">IFERROR(INDEX('Autumn term 2025'!$AB$6:$AM$55,_xlfn.XMATCH(RIGHT(MFG!$A37,4)*1,'Autumn term 2025'!$AA$6:$AA$55),_xlfn.XMATCH(MFG!K$7,'Autumn term 2025'!$AB$5:$AM$5)),0)</f>
        <v>0</v>
      </c>
      <c r="L37" s="403" cm="1">
        <f t="array" ref="L37">IFERROR(INDEX('Autumn term 2025'!$AB$6:$AM$55,_xlfn.XMATCH(RIGHT(MFG!$A37,4)*1,'Autumn term 2025'!$AA$6:$AA$55),_xlfn.XMATCH(MFG!L$7,'Autumn term 2025'!$AB$5:$AM$5)),0)</f>
        <v>0</v>
      </c>
      <c r="M37" s="403" cm="1">
        <f t="array" ref="M37">IFERROR(INDEX('Autumn term 2025'!$AB$6:$AM$55,_xlfn.XMATCH(RIGHT(MFG!$A37,4)*1,'Autumn term 2025'!$AA$6:$AA$55),_xlfn.XMATCH(MFG!M$7,'Autumn term 2025'!$AB$5:$AM$5)),0)</f>
        <v>0</v>
      </c>
      <c r="N37" s="403" cm="1">
        <f t="array" ref="N37">IFERROR(INDEX('Autumn term 2025'!$AB$6:$AM$55,_xlfn.XMATCH(RIGHT(MFG!$A37,4)*1,'Autumn term 2025'!$AA$6:$AA$55),_xlfn.XMATCH(MFG!N$7,'Autumn term 2025'!$AB$5:$AM$5)),0)</f>
        <v>0</v>
      </c>
      <c r="O37" s="403" cm="1">
        <f t="array" ref="O37">IFERROR(INDEX('Autumn term 2025'!$AB$6:$AM$55,_xlfn.XMATCH(RIGHT(MFG!$A37,4)*1,'Autumn term 2025'!$AA$6:$AA$55),_xlfn.XMATCH(MFG!O$7,'Autumn term 2025'!$AB$5:$AM$5)),0)</f>
        <v>0</v>
      </c>
      <c r="P37" s="403" cm="1">
        <f t="array" ref="P37">IFERROR(INDEX('Autumn term 2025'!$AB$6:$AM$55,_xlfn.XMATCH(RIGHT(MFG!$A37,4)*1,'Autumn term 2025'!$AA$6:$AA$55),_xlfn.XMATCH(MFG!P$7,'Autumn term 2025'!$AB$5:$AM$5)),0)</f>
        <v>0</v>
      </c>
      <c r="Q37" s="404" cm="1">
        <f t="array" ref="Q37">IFERROR(INDEX('Autumn term 2025'!$AB$6:$AM$55,_xlfn.XMATCH(RIGHT(MFG!$A37,4)*1,'Autumn term 2025'!$AA$6:$AA$55),_xlfn.XMATCH(MFG!Q$7,'Autumn term 2025'!$AB$5:$AM$5)),0)</f>
        <v>0</v>
      </c>
      <c r="R37" s="412">
        <f>IF(VLOOKUP($A37,Data!$A$4:$I$81,9,FALSE)="PRI",G37*$G$2+H37*$H$2+I37*$I$2+J37*$J$2+K37*$K$2+L37*$L$2+M37*$M$2+N37*$N$2+O37*$O$2+P37*$P$2+Q37*$Q$2,G37*$G$3+H37*$H$3+I37*$I$3+J37*$J$3+K37*$K$3+L37*$L$3+M37*$M$3+N37*$N$3+O37*$O$3+P37*$P$3+Q37*$Q$3)</f>
        <v>13790</v>
      </c>
      <c r="S37" s="145">
        <f>IF(VLOOKUP($A37,Data!$A$4:$I$81,9,FALSE)="PRI",G37*$G$4+H37*$H$4+I37*$I$4+J37*$J$4+K37*$K$4+L37*$L$4+M37*$M$4+N37*$N$4+O37*$O$4+P37*$P$4+Q37*$Q$4,G37*$G$5+H37*$H$5+I37*$I$5+J37*$J$5+K37*$K$5+L37*$L$5+M37*$M$5+N37*$N$5+O37*$O$5+P37*$P$5+Q37*$Q$5)</f>
        <v>15340</v>
      </c>
      <c r="T37" s="229">
        <f>IFERROR(VLOOKUP(RIGHT($A37,4)*1,'Autumn term 2025'!$U$6:$X$16,3,FALSE),0)</f>
        <v>0</v>
      </c>
      <c r="U37" s="230">
        <f>IFERROR(VLOOKUP(RIGHT($A37,4)*1,'Autumn term 2025'!$U$6:$X$16,2,FALSE),0)</f>
        <v>0</v>
      </c>
      <c r="V37" s="231">
        <f>IF(VLOOKUP($A37,Data!$A$3:$I$81,9,FALSE)="Pri",T37*$T$2+U37*$U$2,T37*$T$3+U37*$U$3)</f>
        <v>0</v>
      </c>
      <c r="W37" s="232">
        <f>IF(VLOOKUP($A37,Data!$A$3:$I$81,9,FALSE)="Pri",T37*$T$4+U37*$U$4,T37*$T$5+U37*$U$5)</f>
        <v>0</v>
      </c>
      <c r="X37" s="235">
        <f t="shared" si="21"/>
        <v>0</v>
      </c>
      <c r="Y37" s="399">
        <f t="shared" si="22"/>
        <v>73790</v>
      </c>
      <c r="Z37" s="234">
        <f t="shared" si="23"/>
        <v>73790</v>
      </c>
      <c r="AA37" s="46">
        <f t="shared" si="24"/>
        <v>75340</v>
      </c>
      <c r="AB37" s="400">
        <f t="shared" si="25"/>
        <v>0</v>
      </c>
      <c r="AC37" s="21">
        <f t="shared" si="26"/>
        <v>0</v>
      </c>
      <c r="AD37" s="11"/>
      <c r="AE37" s="11"/>
      <c r="AF37" s="146">
        <f>IFERROR(VLOOKUP(A37,'25-26 MFG'!A:D,3,FALSE),0)</f>
        <v>0</v>
      </c>
      <c r="AG37" s="75">
        <f>IFERROR(VLOOKUP(A37,'25-26 MFG'!A:D,4,FALSE),0)</f>
        <v>0</v>
      </c>
      <c r="AH37" s="224">
        <f t="shared" si="27"/>
        <v>0</v>
      </c>
    </row>
    <row r="38" spans="1:34">
      <c r="A38" s="7">
        <v>8502520</v>
      </c>
      <c r="B38" s="142" t="s">
        <v>17</v>
      </c>
      <c r="C38" s="16">
        <f>IFERROR(VLOOKUP(RIGHT($A38,4)*1,'Autumn term 2025'!$AA$6:$AM$57,12,FALSE),0)</f>
        <v>3</v>
      </c>
      <c r="D38" s="16">
        <f>SUMIF(APN!$A$3:$A$97,(RIGHT($A38,4)*1),APN!$K$3:$K$97)</f>
        <v>6</v>
      </c>
      <c r="E38" s="209">
        <f>D38*Values!$J$17</f>
        <v>36000</v>
      </c>
      <c r="F38" s="410">
        <f t="shared" si="20"/>
        <v>36000</v>
      </c>
      <c r="G38" s="402" cm="1">
        <f t="array" ref="G38">IFERROR(INDEX('Autumn term 2025'!$AB$6:$AM$55,_xlfn.XMATCH(RIGHT(MFG!$A38,4)*1,'Autumn term 2025'!$AA$6:$AA$55),_xlfn.XMATCH(MFG!G$7,'Autumn term 2025'!$AB$5:$AM$5)),0)</f>
        <v>0</v>
      </c>
      <c r="H38" s="403" cm="1">
        <f t="array" ref="H38">IFERROR(INDEX('Autumn term 2025'!$AB$6:$AM$55,_xlfn.XMATCH(RIGHT(MFG!$A38,4)*1,'Autumn term 2025'!$AA$6:$AA$55),_xlfn.XMATCH(MFG!H$7,'Autumn term 2025'!$AB$5:$AM$5)),0)</f>
        <v>3</v>
      </c>
      <c r="I38" s="403" cm="1">
        <f t="array" ref="I38">IFERROR(INDEX('Autumn term 2025'!$AB$6:$AM$55,_xlfn.XMATCH(RIGHT(MFG!$A38,4)*1,'Autumn term 2025'!$AA$6:$AA$55),_xlfn.XMATCH(MFG!I$7,'Autumn term 2025'!$AB$5:$AM$5)),0)</f>
        <v>0</v>
      </c>
      <c r="J38" s="403" cm="1">
        <f t="array" ref="J38">IFERROR(INDEX('Autumn term 2025'!$AB$6:$AM$55,_xlfn.XMATCH(RIGHT(MFG!$A38,4)*1,'Autumn term 2025'!$AA$6:$AA$55),_xlfn.XMATCH(MFG!J$7,'Autumn term 2025'!$AB$5:$AM$5)),0)</f>
        <v>0</v>
      </c>
      <c r="K38" s="403" cm="1">
        <f t="array" ref="K38">IFERROR(INDEX('Autumn term 2025'!$AB$6:$AM$55,_xlfn.XMATCH(RIGHT(MFG!$A38,4)*1,'Autumn term 2025'!$AA$6:$AA$55),_xlfn.XMATCH(MFG!K$7,'Autumn term 2025'!$AB$5:$AM$5)),0)</f>
        <v>0</v>
      </c>
      <c r="L38" s="403" cm="1">
        <f t="array" ref="L38">IFERROR(INDEX('Autumn term 2025'!$AB$6:$AM$55,_xlfn.XMATCH(RIGHT(MFG!$A38,4)*1,'Autumn term 2025'!$AA$6:$AA$55),_xlfn.XMATCH(MFG!L$7,'Autumn term 2025'!$AB$5:$AM$5)),0)</f>
        <v>0</v>
      </c>
      <c r="M38" s="403" cm="1">
        <f t="array" ref="M38">IFERROR(INDEX('Autumn term 2025'!$AB$6:$AM$55,_xlfn.XMATCH(RIGHT(MFG!$A38,4)*1,'Autumn term 2025'!$AA$6:$AA$55),_xlfn.XMATCH(MFG!M$7,'Autumn term 2025'!$AB$5:$AM$5)),0)</f>
        <v>0</v>
      </c>
      <c r="N38" s="403" cm="1">
        <f t="array" ref="N38">IFERROR(INDEX('Autumn term 2025'!$AB$6:$AM$55,_xlfn.XMATCH(RIGHT(MFG!$A38,4)*1,'Autumn term 2025'!$AA$6:$AA$55),_xlfn.XMATCH(MFG!N$7,'Autumn term 2025'!$AB$5:$AM$5)),0)</f>
        <v>0</v>
      </c>
      <c r="O38" s="403" cm="1">
        <f t="array" ref="O38">IFERROR(INDEX('Autumn term 2025'!$AB$6:$AM$55,_xlfn.XMATCH(RIGHT(MFG!$A38,4)*1,'Autumn term 2025'!$AA$6:$AA$55),_xlfn.XMATCH(MFG!O$7,'Autumn term 2025'!$AB$5:$AM$5)),0)</f>
        <v>0</v>
      </c>
      <c r="P38" s="403" cm="1">
        <f t="array" ref="P38">IFERROR(INDEX('Autumn term 2025'!$AB$6:$AM$55,_xlfn.XMATCH(RIGHT(MFG!$A38,4)*1,'Autumn term 2025'!$AA$6:$AA$55),_xlfn.XMATCH(MFG!P$7,'Autumn term 2025'!$AB$5:$AM$5)),0)</f>
        <v>0</v>
      </c>
      <c r="Q38" s="404" cm="1">
        <f t="array" ref="Q38">IFERROR(INDEX('Autumn term 2025'!$AB$6:$AM$55,_xlfn.XMATCH(RIGHT(MFG!$A38,4)*1,'Autumn term 2025'!$AA$6:$AA$55),_xlfn.XMATCH(MFG!Q$7,'Autumn term 2025'!$AB$5:$AM$5)),0)</f>
        <v>0</v>
      </c>
      <c r="R38" s="412">
        <f>IF(VLOOKUP($A38,Data!$A$4:$I$81,9,FALSE)="PRI",G38*$G$2+H38*$H$2+I38*$I$2+J38*$J$2+K38*$K$2+L38*$L$2+M38*$M$2+N38*$N$2+O38*$O$2+P38*$P$2+Q38*$Q$2,G38*$G$3+H38*$H$3+I38*$I$3+J38*$J$3+K38*$K$3+L38*$L$3+M38*$M$3+N38*$N$3+O38*$O$3+P38*$P$3+Q38*$Q$3)</f>
        <v>25194</v>
      </c>
      <c r="S38" s="145">
        <f>IF(VLOOKUP($A38,Data!$A$4:$I$81,9,FALSE)="PRI",G38*$G$4+H38*$H$4+I38*$I$4+J38*$J$4+K38*$K$4+L38*$L$4+M38*$M$4+N38*$N$4+O38*$O$4+P38*$P$4+Q38*$Q$4,G38*$G$5+H38*$H$5+I38*$I$5+J38*$J$5+K38*$K$5+L38*$L$5+M38*$M$5+N38*$N$5+O38*$O$5+P38*$P$5+Q38*$Q$5)</f>
        <v>26103</v>
      </c>
      <c r="T38" s="229">
        <f>IFERROR(VLOOKUP(RIGHT($A38,4)*1,'Autumn term 2025'!$U$6:$X$16,3,FALSE),0)</f>
        <v>0</v>
      </c>
      <c r="U38" s="230">
        <f>IFERROR(VLOOKUP(RIGHT($A38,4)*1,'Autumn term 2025'!$U$6:$X$16,2,FALSE),0)</f>
        <v>3</v>
      </c>
      <c r="V38" s="231">
        <f>IF(VLOOKUP($A38,Data!$A$3:$I$81,9,FALSE)="Pri",T38*$T$2+U38*$U$2,T38*$T$3+U38*$U$3)</f>
        <v>24957</v>
      </c>
      <c r="W38" s="232">
        <f>IF(VLOOKUP($A38,Data!$A$3:$I$81,9,FALSE)="Pri",T38*$T$4+U38*$U$4,T38*$T$5+U38*$U$5)</f>
        <v>25482</v>
      </c>
      <c r="X38" s="235">
        <f t="shared" si="21"/>
        <v>0</v>
      </c>
      <c r="Y38" s="399">
        <f t="shared" si="22"/>
        <v>86151</v>
      </c>
      <c r="Z38" s="234">
        <f t="shared" si="23"/>
        <v>86151</v>
      </c>
      <c r="AA38" s="46">
        <f t="shared" si="24"/>
        <v>87585</v>
      </c>
      <c r="AB38" s="400">
        <f t="shared" si="25"/>
        <v>0</v>
      </c>
      <c r="AC38" s="21">
        <f t="shared" si="26"/>
        <v>0</v>
      </c>
      <c r="AD38" s="11"/>
      <c r="AE38" s="11"/>
      <c r="AF38" s="146">
        <f>IFERROR(VLOOKUP(A38,'25-26 MFG'!A:D,3,FALSE),0)</f>
        <v>0</v>
      </c>
      <c r="AG38" s="75">
        <f>IFERROR(VLOOKUP(A38,'25-26 MFG'!A:D,4,FALSE),0)</f>
        <v>0</v>
      </c>
      <c r="AH38" s="224">
        <f t="shared" si="27"/>
        <v>0</v>
      </c>
    </row>
    <row r="39" spans="1:34">
      <c r="A39" s="7">
        <v>8502531</v>
      </c>
      <c r="B39" s="142" t="s">
        <v>18</v>
      </c>
      <c r="C39" s="16">
        <f>IFERROR(VLOOKUP(RIGHT($A39,4)*1,'Autumn term 2025'!$AA$6:$AM$57,12,FALSE),0)</f>
        <v>20</v>
      </c>
      <c r="D39" s="16">
        <f>SUMIF(APN!$A$3:$A$97,(RIGHT($A39,4)*1),APN!$K$3:$K$97)</f>
        <v>20</v>
      </c>
      <c r="E39" s="209">
        <f>D39*Values!$J$17</f>
        <v>120000</v>
      </c>
      <c r="F39" s="410">
        <f t="shared" si="20"/>
        <v>120000</v>
      </c>
      <c r="G39" s="402" cm="1">
        <f t="array" ref="G39">IFERROR(INDEX('Autumn term 2025'!$AB$6:$AM$55,_xlfn.XMATCH(RIGHT(MFG!$A39,4)*1,'Autumn term 2025'!$AA$6:$AA$55),_xlfn.XMATCH(MFG!G$7,'Autumn term 2025'!$AB$5:$AM$5)),0)</f>
        <v>0</v>
      </c>
      <c r="H39" s="403" cm="1">
        <f t="array" ref="H39">IFERROR(INDEX('Autumn term 2025'!$AB$6:$AM$55,_xlfn.XMATCH(RIGHT(MFG!$A39,4)*1,'Autumn term 2025'!$AA$6:$AA$55),_xlfn.XMATCH(MFG!H$7,'Autumn term 2025'!$AB$5:$AM$5)),0)</f>
        <v>0</v>
      </c>
      <c r="I39" s="403" cm="1">
        <f t="array" ref="I39">IFERROR(INDEX('Autumn term 2025'!$AB$6:$AM$55,_xlfn.XMATCH(RIGHT(MFG!$A39,4)*1,'Autumn term 2025'!$AA$6:$AA$55),_xlfn.XMATCH(MFG!I$7,'Autumn term 2025'!$AB$5:$AM$5)),0)</f>
        <v>20</v>
      </c>
      <c r="J39" s="403" cm="1">
        <f t="array" ref="J39">IFERROR(INDEX('Autumn term 2025'!$AB$6:$AM$55,_xlfn.XMATCH(RIGHT(MFG!$A39,4)*1,'Autumn term 2025'!$AA$6:$AA$55),_xlfn.XMATCH(MFG!J$7,'Autumn term 2025'!$AB$5:$AM$5)),0)</f>
        <v>0</v>
      </c>
      <c r="K39" s="403" cm="1">
        <f t="array" ref="K39">IFERROR(INDEX('Autumn term 2025'!$AB$6:$AM$55,_xlfn.XMATCH(RIGHT(MFG!$A39,4)*1,'Autumn term 2025'!$AA$6:$AA$55),_xlfn.XMATCH(MFG!K$7,'Autumn term 2025'!$AB$5:$AM$5)),0)</f>
        <v>0</v>
      </c>
      <c r="L39" s="403" cm="1">
        <f t="array" ref="L39">IFERROR(INDEX('Autumn term 2025'!$AB$6:$AM$55,_xlfn.XMATCH(RIGHT(MFG!$A39,4)*1,'Autumn term 2025'!$AA$6:$AA$55),_xlfn.XMATCH(MFG!L$7,'Autumn term 2025'!$AB$5:$AM$5)),0)</f>
        <v>0</v>
      </c>
      <c r="M39" s="403" cm="1">
        <f t="array" ref="M39">IFERROR(INDEX('Autumn term 2025'!$AB$6:$AM$55,_xlfn.XMATCH(RIGHT(MFG!$A39,4)*1,'Autumn term 2025'!$AA$6:$AA$55),_xlfn.XMATCH(MFG!M$7,'Autumn term 2025'!$AB$5:$AM$5)),0)</f>
        <v>0</v>
      </c>
      <c r="N39" s="403" cm="1">
        <f t="array" ref="N39">IFERROR(INDEX('Autumn term 2025'!$AB$6:$AM$55,_xlfn.XMATCH(RIGHT(MFG!$A39,4)*1,'Autumn term 2025'!$AA$6:$AA$55),_xlfn.XMATCH(MFG!N$7,'Autumn term 2025'!$AB$5:$AM$5)),0)</f>
        <v>0</v>
      </c>
      <c r="O39" s="403" cm="1">
        <f t="array" ref="O39">IFERROR(INDEX('Autumn term 2025'!$AB$6:$AM$55,_xlfn.XMATCH(RIGHT(MFG!$A39,4)*1,'Autumn term 2025'!$AA$6:$AA$55),_xlfn.XMATCH(MFG!O$7,'Autumn term 2025'!$AB$5:$AM$5)),0)</f>
        <v>0</v>
      </c>
      <c r="P39" s="403" cm="1">
        <f t="array" ref="P39">IFERROR(INDEX('Autumn term 2025'!$AB$6:$AM$55,_xlfn.XMATCH(RIGHT(MFG!$A39,4)*1,'Autumn term 2025'!$AA$6:$AA$55),_xlfn.XMATCH(MFG!P$7,'Autumn term 2025'!$AB$5:$AM$5)),0)</f>
        <v>0</v>
      </c>
      <c r="Q39" s="404" cm="1">
        <f t="array" ref="Q39">IFERROR(INDEX('Autumn term 2025'!$AB$6:$AM$55,_xlfn.XMATCH(RIGHT(MFG!$A39,4)*1,'Autumn term 2025'!$AA$6:$AA$55),_xlfn.XMATCH(MFG!Q$7,'Autumn term 2025'!$AB$5:$AM$5)),0)</f>
        <v>0</v>
      </c>
      <c r="R39" s="412">
        <f>IF(VLOOKUP($A39,Data!$A$4:$I$81,9,FALSE)="PRI",G39*$G$2+H39*$H$2+I39*$I$2+J39*$J$2+K39*$K$2+L39*$L$2+M39*$M$2+N39*$N$2+O39*$O$2+P39*$P$2+Q39*$Q$2,G39*$G$3+H39*$H$3+I39*$I$3+J39*$J$3+K39*$K$3+L39*$L$3+M39*$M$3+N39*$N$3+O39*$O$3+P39*$P$3+Q39*$Q$3)</f>
        <v>27580</v>
      </c>
      <c r="S39" s="145">
        <f>IF(VLOOKUP($A39,Data!$A$4:$I$81,9,FALSE)="PRI",G39*$G$4+H39*$H$4+I39*$I$4+J39*$J$4+K39*$K$4+L39*$L$4+M39*$M$4+N39*$N$4+O39*$O$4+P39*$P$4+Q39*$Q$4,G39*$G$5+H39*$H$5+I39*$I$5+J39*$J$5+K39*$K$5+L39*$L$5+M39*$M$5+N39*$N$5+O39*$O$5+P39*$P$5+Q39*$Q$5)</f>
        <v>30680</v>
      </c>
      <c r="T39" s="229">
        <f>IFERROR(VLOOKUP(RIGHT($A39,4)*1,'Autumn term 2025'!$U$6:$X$16,3,FALSE),0)</f>
        <v>0</v>
      </c>
      <c r="U39" s="230">
        <f>IFERROR(VLOOKUP(RIGHT($A39,4)*1,'Autumn term 2025'!$U$6:$X$16,2,FALSE),0)</f>
        <v>0</v>
      </c>
      <c r="V39" s="231">
        <f>IF(VLOOKUP($A39,Data!$A$3:$I$81,9,FALSE)="Pri",T39*$T$2+U39*$U$2,T39*$T$3+U39*$U$3)</f>
        <v>0</v>
      </c>
      <c r="W39" s="232">
        <f>IF(VLOOKUP($A39,Data!$A$3:$I$81,9,FALSE)="Pri",T39*$T$4+U39*$U$4,T39*$T$5+U39*$U$5)</f>
        <v>0</v>
      </c>
      <c r="X39" s="235">
        <f t="shared" si="21"/>
        <v>0</v>
      </c>
      <c r="Y39" s="399">
        <f t="shared" si="22"/>
        <v>147580</v>
      </c>
      <c r="Z39" s="234">
        <f t="shared" si="23"/>
        <v>147580</v>
      </c>
      <c r="AA39" s="46">
        <f t="shared" si="24"/>
        <v>150680</v>
      </c>
      <c r="AB39" s="400">
        <f t="shared" si="25"/>
        <v>0</v>
      </c>
      <c r="AC39" s="21">
        <f t="shared" si="26"/>
        <v>0</v>
      </c>
      <c r="AD39" s="11"/>
      <c r="AE39" s="11"/>
      <c r="AF39" s="146">
        <f>IFERROR(VLOOKUP(A39,'25-26 MFG'!A:D,3,FALSE),0)</f>
        <v>0</v>
      </c>
      <c r="AG39" s="75">
        <f>IFERROR(VLOOKUP(A39,'25-26 MFG'!A:D,4,FALSE),0)</f>
        <v>0</v>
      </c>
      <c r="AH39" s="224">
        <f t="shared" si="27"/>
        <v>0</v>
      </c>
    </row>
    <row r="40" spans="1:34">
      <c r="A40" s="7">
        <v>8502533</v>
      </c>
      <c r="B40" s="142" t="s">
        <v>19</v>
      </c>
      <c r="C40" s="16">
        <f>IFERROR(VLOOKUP(RIGHT($A40,4)*1,'Autumn term 2025'!$AA$6:$AM$57,12,FALSE),0)</f>
        <v>14</v>
      </c>
      <c r="D40" s="16">
        <f>SUMIF(APN!$A$3:$A$97,(RIGHT($A40,4)*1),APN!$K$3:$K$97)</f>
        <v>24</v>
      </c>
      <c r="E40" s="209">
        <f>D40*Values!$J$17</f>
        <v>144000</v>
      </c>
      <c r="F40" s="410">
        <f t="shared" si="20"/>
        <v>144000</v>
      </c>
      <c r="G40" s="402" cm="1">
        <f t="array" ref="G40">IFERROR(INDEX('Autumn term 2025'!$AB$6:$AM$55,_xlfn.XMATCH(RIGHT(MFG!$A40,4)*1,'Autumn term 2025'!$AA$6:$AA$55),_xlfn.XMATCH(MFG!G$7,'Autumn term 2025'!$AB$5:$AM$5)),0)</f>
        <v>5</v>
      </c>
      <c r="H40" s="403" cm="1">
        <f t="array" ref="H40">IFERROR(INDEX('Autumn term 2025'!$AB$6:$AM$55,_xlfn.XMATCH(RIGHT(MFG!$A40,4)*1,'Autumn term 2025'!$AA$6:$AA$55),_xlfn.XMATCH(MFG!H$7,'Autumn term 2025'!$AB$5:$AM$5)),0)</f>
        <v>0</v>
      </c>
      <c r="I40" s="403" cm="1">
        <f t="array" ref="I40">IFERROR(INDEX('Autumn term 2025'!$AB$6:$AM$55,_xlfn.XMATCH(RIGHT(MFG!$A40,4)*1,'Autumn term 2025'!$AA$6:$AA$55),_xlfn.XMATCH(MFG!I$7,'Autumn term 2025'!$AB$5:$AM$5)),0)</f>
        <v>0</v>
      </c>
      <c r="J40" s="403" cm="1">
        <f t="array" ref="J40">IFERROR(INDEX('Autumn term 2025'!$AB$6:$AM$55,_xlfn.XMATCH(RIGHT(MFG!$A40,4)*1,'Autumn term 2025'!$AA$6:$AA$55),_xlfn.XMATCH(MFG!J$7,'Autumn term 2025'!$AB$5:$AM$5)),0)</f>
        <v>0</v>
      </c>
      <c r="K40" s="403" cm="1">
        <f t="array" ref="K40">IFERROR(INDEX('Autumn term 2025'!$AB$6:$AM$55,_xlfn.XMATCH(RIGHT(MFG!$A40,4)*1,'Autumn term 2025'!$AA$6:$AA$55),_xlfn.XMATCH(MFG!K$7,'Autumn term 2025'!$AB$5:$AM$5)),0)</f>
        <v>0</v>
      </c>
      <c r="L40" s="403" cm="1">
        <f t="array" ref="L40">IFERROR(INDEX('Autumn term 2025'!$AB$6:$AM$55,_xlfn.XMATCH(RIGHT(MFG!$A40,4)*1,'Autumn term 2025'!$AA$6:$AA$55),_xlfn.XMATCH(MFG!L$7,'Autumn term 2025'!$AB$5:$AM$5)),0)</f>
        <v>0</v>
      </c>
      <c r="M40" s="403" cm="1">
        <f t="array" ref="M40">IFERROR(INDEX('Autumn term 2025'!$AB$6:$AM$55,_xlfn.XMATCH(RIGHT(MFG!$A40,4)*1,'Autumn term 2025'!$AA$6:$AA$55),_xlfn.XMATCH(MFG!M$7,'Autumn term 2025'!$AB$5:$AM$5)),0)</f>
        <v>0</v>
      </c>
      <c r="N40" s="403" cm="1">
        <f t="array" ref="N40">IFERROR(INDEX('Autumn term 2025'!$AB$6:$AM$55,_xlfn.XMATCH(RIGHT(MFG!$A40,4)*1,'Autumn term 2025'!$AA$6:$AA$55),_xlfn.XMATCH(MFG!N$7,'Autumn term 2025'!$AB$5:$AM$5)),0)</f>
        <v>9</v>
      </c>
      <c r="O40" s="403" cm="1">
        <f t="array" ref="O40">IFERROR(INDEX('Autumn term 2025'!$AB$6:$AM$55,_xlfn.XMATCH(RIGHT(MFG!$A40,4)*1,'Autumn term 2025'!$AA$6:$AA$55),_xlfn.XMATCH(MFG!O$7,'Autumn term 2025'!$AB$5:$AM$5)),0)</f>
        <v>0</v>
      </c>
      <c r="P40" s="403" cm="1">
        <f t="array" ref="P40">IFERROR(INDEX('Autumn term 2025'!$AB$6:$AM$55,_xlfn.XMATCH(RIGHT(MFG!$A40,4)*1,'Autumn term 2025'!$AA$6:$AA$55),_xlfn.XMATCH(MFG!P$7,'Autumn term 2025'!$AB$5:$AM$5)),0)</f>
        <v>0</v>
      </c>
      <c r="Q40" s="404" cm="1">
        <f t="array" ref="Q40">IFERROR(INDEX('Autumn term 2025'!$AB$6:$AM$55,_xlfn.XMATCH(RIGHT(MFG!$A40,4)*1,'Autumn term 2025'!$AA$6:$AA$55),_xlfn.XMATCH(MFG!Q$7,'Autumn term 2025'!$AB$5:$AM$5)),0)</f>
        <v>0</v>
      </c>
      <c r="R40" s="412">
        <f>IF(VLOOKUP($A40,Data!$A$4:$I$81,9,FALSE)="PRI",G40*$G$2+H40*$H$2+I40*$I$2+J40*$J$2+K40*$K$2+L40*$L$2+M40*$M$2+N40*$N$2+O40*$O$2+P40*$P$2+Q40*$Q$2,G40*$G$3+H40*$H$3+I40*$I$3+J40*$J$3+K40*$K$3+L40*$L$3+M40*$M$3+N40*$N$3+O40*$O$3+P40*$P$3+Q40*$Q$3)</f>
        <v>98996</v>
      </c>
      <c r="S40" s="145">
        <f>IF(VLOOKUP($A40,Data!$A$4:$I$81,9,FALSE)="PRI",G40*$G$4+H40*$H$4+I40*$I$4+J40*$J$4+K40*$K$4+L40*$L$4+M40*$M$4+N40*$N$4+O40*$O$4+P40*$P$4+Q40*$Q$4,G40*$G$5+H40*$H$5+I40*$I$5+J40*$J$5+K40*$K$5+L40*$L$5+M40*$M$5+N40*$N$5+O40*$O$5+P40*$P$5+Q40*$Q$5)</f>
        <v>102844</v>
      </c>
      <c r="T40" s="229">
        <f>IFERROR(VLOOKUP(RIGHT($A40,4)*1,'Autumn term 2025'!$U$6:$X$16,3,FALSE),0)</f>
        <v>0</v>
      </c>
      <c r="U40" s="230">
        <f>IFERROR(VLOOKUP(RIGHT($A40,4)*1,'Autumn term 2025'!$U$6:$X$16,2,FALSE),0)</f>
        <v>0</v>
      </c>
      <c r="V40" s="231">
        <f>IF(VLOOKUP($A40,Data!$A$3:$I$81,9,FALSE)="Pri",T40*$T$2+U40*$U$2,T40*$T$3+U40*$U$3)</f>
        <v>0</v>
      </c>
      <c r="W40" s="232">
        <f>IF(VLOOKUP($A40,Data!$A$3:$I$81,9,FALSE)="Pri",T40*$T$4+U40*$U$4,T40*$T$5+U40*$U$5)</f>
        <v>0</v>
      </c>
      <c r="X40" s="235">
        <f t="shared" si="21"/>
        <v>0</v>
      </c>
      <c r="Y40" s="399">
        <f t="shared" si="22"/>
        <v>242996</v>
      </c>
      <c r="Z40" s="234">
        <f t="shared" si="23"/>
        <v>242996</v>
      </c>
      <c r="AA40" s="46">
        <f t="shared" si="24"/>
        <v>246844</v>
      </c>
      <c r="AB40" s="400">
        <f t="shared" si="25"/>
        <v>0</v>
      </c>
      <c r="AC40" s="21">
        <f t="shared" si="26"/>
        <v>0</v>
      </c>
      <c r="AD40" s="11"/>
      <c r="AE40" s="11"/>
      <c r="AF40" s="146">
        <f>IFERROR(VLOOKUP(A40,'25-26 MFG'!A:D,3,FALSE),0)</f>
        <v>0</v>
      </c>
      <c r="AG40" s="75">
        <f>IFERROR(VLOOKUP(A40,'25-26 MFG'!A:D,4,FALSE),0)</f>
        <v>0</v>
      </c>
      <c r="AH40" s="224">
        <f t="shared" si="27"/>
        <v>0</v>
      </c>
    </row>
    <row r="41" spans="1:34">
      <c r="A41" s="7">
        <v>8502534</v>
      </c>
      <c r="B41" s="142" t="s">
        <v>20</v>
      </c>
      <c r="C41" s="16">
        <f>IFERROR(VLOOKUP(RIGHT($A41,4)*1,'Autumn term 2025'!$AA$6:$AM$57,12,FALSE),0)</f>
        <v>13</v>
      </c>
      <c r="D41" s="16">
        <f>SUMIF(APN!$A$3:$A$97,(RIGHT($A41,4)*1),APN!$K$3:$K$97)</f>
        <v>23</v>
      </c>
      <c r="E41" s="209">
        <f>D41*Values!$J$17</f>
        <v>138000</v>
      </c>
      <c r="F41" s="410">
        <f t="shared" si="20"/>
        <v>138000</v>
      </c>
      <c r="G41" s="402" cm="1">
        <f t="array" ref="G41">IFERROR(INDEX('Autumn term 2025'!$AB$6:$AM$55,_xlfn.XMATCH(RIGHT(MFG!$A41,4)*1,'Autumn term 2025'!$AA$6:$AA$55),_xlfn.XMATCH(MFG!G$7,'Autumn term 2025'!$AB$5:$AM$5)),0)</f>
        <v>5</v>
      </c>
      <c r="H41" s="403" cm="1">
        <f t="array" ref="H41">IFERROR(INDEX('Autumn term 2025'!$AB$6:$AM$55,_xlfn.XMATCH(RIGHT(MFG!$A41,4)*1,'Autumn term 2025'!$AA$6:$AA$55),_xlfn.XMATCH(MFG!H$7,'Autumn term 2025'!$AB$5:$AM$5)),0)</f>
        <v>0</v>
      </c>
      <c r="I41" s="403" cm="1">
        <f t="array" ref="I41">IFERROR(INDEX('Autumn term 2025'!$AB$6:$AM$55,_xlfn.XMATCH(RIGHT(MFG!$A41,4)*1,'Autumn term 2025'!$AA$6:$AA$55),_xlfn.XMATCH(MFG!I$7,'Autumn term 2025'!$AB$5:$AM$5)),0)</f>
        <v>0</v>
      </c>
      <c r="J41" s="403" cm="1">
        <f t="array" ref="J41">IFERROR(INDEX('Autumn term 2025'!$AB$6:$AM$55,_xlfn.XMATCH(RIGHT(MFG!$A41,4)*1,'Autumn term 2025'!$AA$6:$AA$55),_xlfn.XMATCH(MFG!J$7,'Autumn term 2025'!$AB$5:$AM$5)),0)</f>
        <v>0</v>
      </c>
      <c r="K41" s="403" cm="1">
        <f t="array" ref="K41">IFERROR(INDEX('Autumn term 2025'!$AB$6:$AM$55,_xlfn.XMATCH(RIGHT(MFG!$A41,4)*1,'Autumn term 2025'!$AA$6:$AA$55),_xlfn.XMATCH(MFG!K$7,'Autumn term 2025'!$AB$5:$AM$5)),0)</f>
        <v>0</v>
      </c>
      <c r="L41" s="403" cm="1">
        <f t="array" ref="L41">IFERROR(INDEX('Autumn term 2025'!$AB$6:$AM$55,_xlfn.XMATCH(RIGHT(MFG!$A41,4)*1,'Autumn term 2025'!$AA$6:$AA$55),_xlfn.XMATCH(MFG!L$7,'Autumn term 2025'!$AB$5:$AM$5)),0)</f>
        <v>0</v>
      </c>
      <c r="M41" s="403" cm="1">
        <f t="array" ref="M41">IFERROR(INDEX('Autumn term 2025'!$AB$6:$AM$55,_xlfn.XMATCH(RIGHT(MFG!$A41,4)*1,'Autumn term 2025'!$AA$6:$AA$55),_xlfn.XMATCH(MFG!M$7,'Autumn term 2025'!$AB$5:$AM$5)),0)</f>
        <v>0</v>
      </c>
      <c r="N41" s="403" cm="1">
        <f t="array" ref="N41">IFERROR(INDEX('Autumn term 2025'!$AB$6:$AM$55,_xlfn.XMATCH(RIGHT(MFG!$A41,4)*1,'Autumn term 2025'!$AA$6:$AA$55),_xlfn.XMATCH(MFG!N$7,'Autumn term 2025'!$AB$5:$AM$5)),0)</f>
        <v>8</v>
      </c>
      <c r="O41" s="403" cm="1">
        <f t="array" ref="O41">IFERROR(INDEX('Autumn term 2025'!$AB$6:$AM$55,_xlfn.XMATCH(RIGHT(MFG!$A41,4)*1,'Autumn term 2025'!$AA$6:$AA$55),_xlfn.XMATCH(MFG!O$7,'Autumn term 2025'!$AB$5:$AM$5)),0)</f>
        <v>0</v>
      </c>
      <c r="P41" s="403" cm="1">
        <f t="array" ref="P41">IFERROR(INDEX('Autumn term 2025'!$AB$6:$AM$55,_xlfn.XMATCH(RIGHT(MFG!$A41,4)*1,'Autumn term 2025'!$AA$6:$AA$55),_xlfn.XMATCH(MFG!P$7,'Autumn term 2025'!$AB$5:$AM$5)),0)</f>
        <v>0</v>
      </c>
      <c r="Q41" s="404" cm="1">
        <f t="array" ref="Q41">IFERROR(INDEX('Autumn term 2025'!$AB$6:$AM$55,_xlfn.XMATCH(RIGHT(MFG!$A41,4)*1,'Autumn term 2025'!$AA$6:$AA$55),_xlfn.XMATCH(MFG!Q$7,'Autumn term 2025'!$AB$5:$AM$5)),0)</f>
        <v>0</v>
      </c>
      <c r="R41" s="412">
        <f>IF(VLOOKUP($A41,Data!$A$4:$I$81,9,FALSE)="PRI",G41*$G$2+H41*$H$2+I41*$I$2+J41*$J$2+K41*$K$2+L41*$L$2+M41*$M$2+N41*$N$2+O41*$O$2+P41*$P$2+Q41*$Q$2,G41*$G$3+H41*$H$3+I41*$I$3+J41*$J$3+K41*$K$3+L41*$L$3+M41*$M$3+N41*$N$3+O41*$O$3+P41*$P$3+Q41*$Q$3)</f>
        <v>93972</v>
      </c>
      <c r="S41" s="145">
        <f>IF(VLOOKUP($A41,Data!$A$4:$I$81,9,FALSE)="PRI",G41*$G$4+H41*$H$4+I41*$I$4+J41*$J$4+K41*$K$4+L41*$L$4+M41*$M$4+N41*$N$4+O41*$O$4+P41*$P$4+Q41*$Q$4,G41*$G$5+H41*$H$5+I41*$I$5+J41*$J$5+K41*$K$5+L41*$L$5+M41*$M$5+N41*$N$5+O41*$O$5+P41*$P$5+Q41*$Q$5)</f>
        <v>97588</v>
      </c>
      <c r="T41" s="229">
        <f>IFERROR(VLOOKUP(RIGHT($A41,4)*1,'Autumn term 2025'!$U$6:$X$16,3,FALSE),0)</f>
        <v>0</v>
      </c>
      <c r="U41" s="230">
        <f>IFERROR(VLOOKUP(RIGHT($A41,4)*1,'Autumn term 2025'!$U$6:$X$16,2,FALSE),0)</f>
        <v>0</v>
      </c>
      <c r="V41" s="231">
        <f>IF(VLOOKUP($A41,Data!$A$3:$I$81,9,FALSE)="Pri",T41*$T$2+U41*$U$2,T41*$T$3+U41*$U$3)</f>
        <v>0</v>
      </c>
      <c r="W41" s="232">
        <f>IF(VLOOKUP($A41,Data!$A$3:$I$81,9,FALSE)="Pri",T41*$T$4+U41*$U$4,T41*$T$5+U41*$U$5)</f>
        <v>0</v>
      </c>
      <c r="X41" s="235">
        <f t="shared" si="21"/>
        <v>0</v>
      </c>
      <c r="Y41" s="399">
        <f t="shared" si="22"/>
        <v>231972</v>
      </c>
      <c r="Z41" s="234">
        <f t="shared" si="23"/>
        <v>231972</v>
      </c>
      <c r="AA41" s="46">
        <f t="shared" si="24"/>
        <v>235588</v>
      </c>
      <c r="AB41" s="400">
        <f t="shared" si="25"/>
        <v>0</v>
      </c>
      <c r="AC41" s="21">
        <f t="shared" si="26"/>
        <v>0</v>
      </c>
      <c r="AD41" s="11"/>
      <c r="AE41" s="11"/>
      <c r="AF41" s="146">
        <f>IFERROR(VLOOKUP(A41,'25-26 MFG'!A:D,3,FALSE),0)</f>
        <v>0</v>
      </c>
      <c r="AG41" s="75">
        <f>IFERROR(VLOOKUP(A41,'25-26 MFG'!A:D,4,FALSE),0)</f>
        <v>0</v>
      </c>
      <c r="AH41" s="224">
        <f t="shared" si="27"/>
        <v>0</v>
      </c>
    </row>
    <row r="42" spans="1:34">
      <c r="A42" s="7">
        <v>8502732</v>
      </c>
      <c r="B42" s="142" t="s">
        <v>21</v>
      </c>
      <c r="C42" s="16">
        <f>IFERROR(VLOOKUP(RIGHT($A42,4)*1,'Autumn term 2025'!$AA$6:$AM$57,12,FALSE),0)</f>
        <v>5</v>
      </c>
      <c r="D42" s="16">
        <f>SUMIF(APN!$A$3:$A$97,(RIGHT($A42,4)*1),APN!$K$3:$K$97)</f>
        <v>6</v>
      </c>
      <c r="E42" s="209">
        <f>D42*Values!$J$17</f>
        <v>36000</v>
      </c>
      <c r="F42" s="410">
        <f t="shared" si="20"/>
        <v>36000</v>
      </c>
      <c r="G42" s="402" cm="1">
        <f t="array" ref="G42">IFERROR(INDEX('Autumn term 2025'!$AB$6:$AM$55,_xlfn.XMATCH(RIGHT(MFG!$A42,4)*1,'Autumn term 2025'!$AA$6:$AA$55),_xlfn.XMATCH(MFG!G$7,'Autumn term 2025'!$AB$5:$AM$5)),0)</f>
        <v>0</v>
      </c>
      <c r="H42" s="403" cm="1">
        <f t="array" ref="H42">IFERROR(INDEX('Autumn term 2025'!$AB$6:$AM$55,_xlfn.XMATCH(RIGHT(MFG!$A42,4)*1,'Autumn term 2025'!$AA$6:$AA$55),_xlfn.XMATCH(MFG!H$7,'Autumn term 2025'!$AB$5:$AM$5)),0)</f>
        <v>5</v>
      </c>
      <c r="I42" s="403" cm="1">
        <f t="array" ref="I42">IFERROR(INDEX('Autumn term 2025'!$AB$6:$AM$55,_xlfn.XMATCH(RIGHT(MFG!$A42,4)*1,'Autumn term 2025'!$AA$6:$AA$55),_xlfn.XMATCH(MFG!I$7,'Autumn term 2025'!$AB$5:$AM$5)),0)</f>
        <v>0</v>
      </c>
      <c r="J42" s="403" cm="1">
        <f t="array" ref="J42">IFERROR(INDEX('Autumn term 2025'!$AB$6:$AM$55,_xlfn.XMATCH(RIGHT(MFG!$A42,4)*1,'Autumn term 2025'!$AA$6:$AA$55),_xlfn.XMATCH(MFG!J$7,'Autumn term 2025'!$AB$5:$AM$5)),0)</f>
        <v>0</v>
      </c>
      <c r="K42" s="403" cm="1">
        <f t="array" ref="K42">IFERROR(INDEX('Autumn term 2025'!$AB$6:$AM$55,_xlfn.XMATCH(RIGHT(MFG!$A42,4)*1,'Autumn term 2025'!$AA$6:$AA$55),_xlfn.XMATCH(MFG!K$7,'Autumn term 2025'!$AB$5:$AM$5)),0)</f>
        <v>0</v>
      </c>
      <c r="L42" s="403" cm="1">
        <f t="array" ref="L42">IFERROR(INDEX('Autumn term 2025'!$AB$6:$AM$55,_xlfn.XMATCH(RIGHT(MFG!$A42,4)*1,'Autumn term 2025'!$AA$6:$AA$55),_xlfn.XMATCH(MFG!L$7,'Autumn term 2025'!$AB$5:$AM$5)),0)</f>
        <v>0</v>
      </c>
      <c r="M42" s="403" cm="1">
        <f t="array" ref="M42">IFERROR(INDEX('Autumn term 2025'!$AB$6:$AM$55,_xlfn.XMATCH(RIGHT(MFG!$A42,4)*1,'Autumn term 2025'!$AA$6:$AA$55),_xlfn.XMATCH(MFG!M$7,'Autumn term 2025'!$AB$5:$AM$5)),0)</f>
        <v>0</v>
      </c>
      <c r="N42" s="403" cm="1">
        <f t="array" ref="N42">IFERROR(INDEX('Autumn term 2025'!$AB$6:$AM$55,_xlfn.XMATCH(RIGHT(MFG!$A42,4)*1,'Autumn term 2025'!$AA$6:$AA$55),_xlfn.XMATCH(MFG!N$7,'Autumn term 2025'!$AB$5:$AM$5)),0)</f>
        <v>0</v>
      </c>
      <c r="O42" s="403" cm="1">
        <f t="array" ref="O42">IFERROR(INDEX('Autumn term 2025'!$AB$6:$AM$55,_xlfn.XMATCH(RIGHT(MFG!$A42,4)*1,'Autumn term 2025'!$AA$6:$AA$55),_xlfn.XMATCH(MFG!O$7,'Autumn term 2025'!$AB$5:$AM$5)),0)</f>
        <v>0</v>
      </c>
      <c r="P42" s="403" cm="1">
        <f t="array" ref="P42">IFERROR(INDEX('Autumn term 2025'!$AB$6:$AM$55,_xlfn.XMATCH(RIGHT(MFG!$A42,4)*1,'Autumn term 2025'!$AA$6:$AA$55),_xlfn.XMATCH(MFG!P$7,'Autumn term 2025'!$AB$5:$AM$5)),0)</f>
        <v>0</v>
      </c>
      <c r="Q42" s="404" cm="1">
        <f t="array" ref="Q42">IFERROR(INDEX('Autumn term 2025'!$AB$6:$AM$55,_xlfn.XMATCH(RIGHT(MFG!$A42,4)*1,'Autumn term 2025'!$AA$6:$AA$55),_xlfn.XMATCH(MFG!Q$7,'Autumn term 2025'!$AB$5:$AM$5)),0)</f>
        <v>0</v>
      </c>
      <c r="R42" s="412">
        <f>IF(VLOOKUP($A42,Data!$A$4:$I$81,9,FALSE)="PRI",G42*$G$2+H42*$H$2+I42*$I$2+J42*$J$2+K42*$K$2+L42*$L$2+M42*$M$2+N42*$N$2+O42*$O$2+P42*$P$2+Q42*$Q$2,G42*$G$3+H42*$H$3+I42*$I$3+J42*$J$3+K42*$K$3+L42*$L$3+M42*$M$3+N42*$N$3+O42*$O$3+P42*$P$3+Q42*$Q$3)</f>
        <v>41990</v>
      </c>
      <c r="S42" s="145">
        <f>IF(VLOOKUP($A42,Data!$A$4:$I$81,9,FALSE)="PRI",G42*$G$4+H42*$H$4+I42*$I$4+J42*$J$4+K42*$K$4+L42*$L$4+M42*$M$4+N42*$N$4+O42*$O$4+P42*$P$4+Q42*$Q$4,G42*$G$5+H42*$H$5+I42*$I$5+J42*$J$5+K42*$K$5+L42*$L$5+M42*$M$5+N42*$N$5+O42*$O$5+P42*$P$5+Q42*$Q$5)</f>
        <v>43505</v>
      </c>
      <c r="T42" s="229">
        <f>IFERROR(VLOOKUP(RIGHT($A42,4)*1,'Autumn term 2025'!$U$6:$X$16,3,FALSE),0)</f>
        <v>0</v>
      </c>
      <c r="U42" s="230">
        <f>IFERROR(VLOOKUP(RIGHT($A42,4)*1,'Autumn term 2025'!$U$6:$X$16,2,FALSE),0)</f>
        <v>2</v>
      </c>
      <c r="V42" s="231">
        <f>IF(VLOOKUP($A42,Data!$A$3:$I$81,9,FALSE)="Pri",T42*$T$2+U42*$U$2,T42*$T$3+U42*$U$3)</f>
        <v>16638</v>
      </c>
      <c r="W42" s="232">
        <f>IF(VLOOKUP($A42,Data!$A$3:$I$81,9,FALSE)="Pri",T42*$T$4+U42*$U$4,T42*$T$5+U42*$U$5)</f>
        <v>16988</v>
      </c>
      <c r="X42" s="235">
        <f t="shared" si="21"/>
        <v>0</v>
      </c>
      <c r="Y42" s="399">
        <f t="shared" si="22"/>
        <v>94628</v>
      </c>
      <c r="Z42" s="234">
        <f t="shared" si="23"/>
        <v>94628</v>
      </c>
      <c r="AA42" s="46">
        <f t="shared" si="24"/>
        <v>96493</v>
      </c>
      <c r="AB42" s="400">
        <f t="shared" si="25"/>
        <v>0</v>
      </c>
      <c r="AC42" s="21">
        <f t="shared" si="26"/>
        <v>0</v>
      </c>
      <c r="AD42" s="11"/>
      <c r="AE42" s="11"/>
      <c r="AF42" s="146">
        <f>IFERROR(VLOOKUP(A42,'25-26 MFG'!A:D,3,FALSE),0)</f>
        <v>0</v>
      </c>
      <c r="AG42" s="75">
        <f>IFERROR(VLOOKUP(A42,'25-26 MFG'!A:D,4,FALSE),0)</f>
        <v>0</v>
      </c>
      <c r="AH42" s="224">
        <f t="shared" si="27"/>
        <v>0</v>
      </c>
    </row>
    <row r="43" spans="1:34">
      <c r="A43" s="7">
        <v>8502270</v>
      </c>
      <c r="B43" s="142" t="s">
        <v>156</v>
      </c>
      <c r="C43" s="16">
        <f>IFERROR(VLOOKUP(RIGHT($A43,4)*1,'Autumn term 2025'!$AA$6:$AM$57,12,FALSE),0)</f>
        <v>0</v>
      </c>
      <c r="D43" s="16">
        <f>SUMIF(APN!$A$3:$A$97,(RIGHT($A43,4)*1),APN!$K$3:$K$97)</f>
        <v>2.9166666666666665</v>
      </c>
      <c r="E43" s="209">
        <f>D43*Values!$J$17</f>
        <v>17500</v>
      </c>
      <c r="F43" s="410">
        <f t="shared" si="20"/>
        <v>17500</v>
      </c>
      <c r="G43" s="402" cm="1">
        <f t="array" ref="G43">IFERROR(INDEX('Autumn term 2025'!$AB$6:$AM$55,_xlfn.XMATCH(RIGHT(MFG!$A43,4)*1,'Autumn term 2025'!$AA$6:$AA$55),_xlfn.XMATCH(MFG!G$7,'Autumn term 2025'!$AB$5:$AM$5)),0)</f>
        <v>0</v>
      </c>
      <c r="H43" s="403" cm="1">
        <f t="array" ref="H43">IFERROR(INDEX('Autumn term 2025'!$AB$6:$AM$55,_xlfn.XMATCH(RIGHT(MFG!$A43,4)*1,'Autumn term 2025'!$AA$6:$AA$55),_xlfn.XMATCH(MFG!H$7,'Autumn term 2025'!$AB$5:$AM$5)),0)</f>
        <v>0</v>
      </c>
      <c r="I43" s="403" cm="1">
        <f t="array" ref="I43">IFERROR(INDEX('Autumn term 2025'!$AB$6:$AM$55,_xlfn.XMATCH(RIGHT(MFG!$A43,4)*1,'Autumn term 2025'!$AA$6:$AA$55),_xlfn.XMATCH(MFG!I$7,'Autumn term 2025'!$AB$5:$AM$5)),0)</f>
        <v>0</v>
      </c>
      <c r="J43" s="403" cm="1">
        <f t="array" ref="J43">IFERROR(INDEX('Autumn term 2025'!$AB$6:$AM$55,_xlfn.XMATCH(RIGHT(MFG!$A43,4)*1,'Autumn term 2025'!$AA$6:$AA$55),_xlfn.XMATCH(MFG!J$7,'Autumn term 2025'!$AB$5:$AM$5)),0)</f>
        <v>0</v>
      </c>
      <c r="K43" s="403" cm="1">
        <f t="array" ref="K43">IFERROR(INDEX('Autumn term 2025'!$AB$6:$AM$55,_xlfn.XMATCH(RIGHT(MFG!$A43,4)*1,'Autumn term 2025'!$AA$6:$AA$55),_xlfn.XMATCH(MFG!K$7,'Autumn term 2025'!$AB$5:$AM$5)),0)</f>
        <v>0</v>
      </c>
      <c r="L43" s="403" cm="1">
        <f t="array" ref="L43">IFERROR(INDEX('Autumn term 2025'!$AB$6:$AM$55,_xlfn.XMATCH(RIGHT(MFG!$A43,4)*1,'Autumn term 2025'!$AA$6:$AA$55),_xlfn.XMATCH(MFG!L$7,'Autumn term 2025'!$AB$5:$AM$5)),0)</f>
        <v>0</v>
      </c>
      <c r="M43" s="403" cm="1">
        <f t="array" ref="M43">IFERROR(INDEX('Autumn term 2025'!$AB$6:$AM$55,_xlfn.XMATCH(RIGHT(MFG!$A43,4)*1,'Autumn term 2025'!$AA$6:$AA$55),_xlfn.XMATCH(MFG!M$7,'Autumn term 2025'!$AB$5:$AM$5)),0)</f>
        <v>0</v>
      </c>
      <c r="N43" s="403" cm="1">
        <f t="array" ref="N43">IFERROR(INDEX('Autumn term 2025'!$AB$6:$AM$55,_xlfn.XMATCH(RIGHT(MFG!$A43,4)*1,'Autumn term 2025'!$AA$6:$AA$55),_xlfn.XMATCH(MFG!N$7,'Autumn term 2025'!$AB$5:$AM$5)),0)</f>
        <v>0</v>
      </c>
      <c r="O43" s="403" cm="1">
        <f t="array" ref="O43">IFERROR(INDEX('Autumn term 2025'!$AB$6:$AM$55,_xlfn.XMATCH(RIGHT(MFG!$A43,4)*1,'Autumn term 2025'!$AA$6:$AA$55),_xlfn.XMATCH(MFG!O$7,'Autumn term 2025'!$AB$5:$AM$5)),0)</f>
        <v>0</v>
      </c>
      <c r="P43" s="403" cm="1">
        <f t="array" ref="P43">IFERROR(INDEX('Autumn term 2025'!$AB$6:$AM$55,_xlfn.XMATCH(RIGHT(MFG!$A43,4)*1,'Autumn term 2025'!$AA$6:$AA$55),_xlfn.XMATCH(MFG!P$7,'Autumn term 2025'!$AB$5:$AM$5)),0)</f>
        <v>0</v>
      </c>
      <c r="Q43" s="404" cm="1">
        <f t="array" ref="Q43">IFERROR(INDEX('Autumn term 2025'!$AB$6:$AM$55,_xlfn.XMATCH(RIGHT(MFG!$A43,4)*1,'Autumn term 2025'!$AA$6:$AA$55),_xlfn.XMATCH(MFG!Q$7,'Autumn term 2025'!$AB$5:$AM$5)),0)</f>
        <v>0</v>
      </c>
      <c r="R43" s="412">
        <f>IF(VLOOKUP($A43,Data!$A$4:$I$81,9,FALSE)="PRI",G43*$G$2+H43*$H$2+I43*$I$2+J43*$J$2+K43*$K$2+L43*$L$2+M43*$M$2+N43*$N$2+O43*$O$2+P43*$P$2+Q43*$Q$2,G43*$G$3+H43*$H$3+I43*$I$3+J43*$J$3+K43*$K$3+L43*$L$3+M43*$M$3+N43*$N$3+O43*$O$3+P43*$P$3+Q43*$Q$3)</f>
        <v>0</v>
      </c>
      <c r="S43" s="145">
        <f>IF(VLOOKUP($A43,Data!$A$4:$I$81,9,FALSE)="PRI",G43*$G$4+H43*$H$4+I43*$I$4+J43*$J$4+K43*$K$4+L43*$L$4+M43*$M$4+N43*$N$4+O43*$O$4+P43*$P$4+Q43*$Q$4,G43*$G$5+H43*$H$5+I43*$I$5+J43*$J$5+K43*$K$5+L43*$L$5+M43*$M$5+N43*$N$5+O43*$O$5+P43*$P$5+Q43*$Q$5)</f>
        <v>0</v>
      </c>
      <c r="T43" s="229">
        <f>IFERROR(VLOOKUP(RIGHT($A43,4)*1,'Autumn term 2025'!$U$6:$X$16,3,FALSE),0)</f>
        <v>0</v>
      </c>
      <c r="U43" s="230">
        <f>IFERROR(VLOOKUP(RIGHT($A43,4)*1,'Autumn term 2025'!$U$6:$X$16,2,FALSE),0)</f>
        <v>0</v>
      </c>
      <c r="V43" s="231">
        <f>IF(VLOOKUP($A43,Data!$A$3:$I$81,9,FALSE)="Pri",T43*$T$2+U43*$U$2,T43*$T$3+U43*$U$3)</f>
        <v>0</v>
      </c>
      <c r="W43" s="232">
        <f>IF(VLOOKUP($A43,Data!$A$3:$I$81,9,FALSE)="Pri",T43*$T$4+U43*$U$4,T43*$T$5+U43*$U$5)</f>
        <v>0</v>
      </c>
      <c r="X43" s="235">
        <f t="shared" si="21"/>
        <v>0</v>
      </c>
      <c r="Y43" s="399">
        <f t="shared" si="22"/>
        <v>17500</v>
      </c>
      <c r="Z43" s="234">
        <f t="shared" si="23"/>
        <v>17500</v>
      </c>
      <c r="AA43" s="46">
        <f t="shared" si="24"/>
        <v>17500</v>
      </c>
      <c r="AB43" s="400">
        <f t="shared" si="25"/>
        <v>0</v>
      </c>
      <c r="AC43" s="21">
        <f t="shared" si="26"/>
        <v>0</v>
      </c>
      <c r="AD43" s="11"/>
      <c r="AE43" s="11"/>
      <c r="AF43" s="146">
        <f>IFERROR(VLOOKUP(A43,'25-26 MFG'!A:D,3,FALSE),0)</f>
        <v>0</v>
      </c>
      <c r="AG43" s="75">
        <f>IFERROR(VLOOKUP(A43,'25-26 MFG'!A:D,4,FALSE),0)</f>
        <v>0</v>
      </c>
      <c r="AH43" s="224">
        <f t="shared" si="27"/>
        <v>0</v>
      </c>
    </row>
    <row r="44" spans="1:34">
      <c r="A44" s="7">
        <v>8502774</v>
      </c>
      <c r="B44" s="142" t="s">
        <v>22</v>
      </c>
      <c r="C44" s="16">
        <f>IFERROR(VLOOKUP(RIGHT($A44,4)*1,'Autumn term 2025'!$AA$6:$AM$57,12,FALSE),0)</f>
        <v>24</v>
      </c>
      <c r="D44" s="16">
        <f>SUMIF(APN!$A$3:$A$97,(RIGHT($A44,4)*1),APN!$K$3:$K$97)</f>
        <v>24</v>
      </c>
      <c r="E44" s="209">
        <f>D44*Values!$J$17</f>
        <v>144000</v>
      </c>
      <c r="F44" s="410">
        <f t="shared" si="20"/>
        <v>144000</v>
      </c>
      <c r="G44" s="402" cm="1">
        <f t="array" ref="G44">IFERROR(INDEX('Autumn term 2025'!$AB$6:$AM$55,_xlfn.XMATCH(RIGHT(MFG!$A44,4)*1,'Autumn term 2025'!$AA$6:$AA$55),_xlfn.XMATCH(MFG!G$7,'Autumn term 2025'!$AB$5:$AM$5)),0)</f>
        <v>7</v>
      </c>
      <c r="H44" s="403" cm="1">
        <f t="array" ref="H44">IFERROR(INDEX('Autumn term 2025'!$AB$6:$AM$55,_xlfn.XMATCH(RIGHT(MFG!$A44,4)*1,'Autumn term 2025'!$AA$6:$AA$55),_xlfn.XMATCH(MFG!H$7,'Autumn term 2025'!$AB$5:$AM$5)),0)</f>
        <v>0</v>
      </c>
      <c r="I44" s="403" cm="1">
        <f t="array" ref="I44">IFERROR(INDEX('Autumn term 2025'!$AB$6:$AM$55,_xlfn.XMATCH(RIGHT(MFG!$A44,4)*1,'Autumn term 2025'!$AA$6:$AA$55),_xlfn.XMATCH(MFG!I$7,'Autumn term 2025'!$AB$5:$AM$5)),0)</f>
        <v>0</v>
      </c>
      <c r="J44" s="403" cm="1">
        <f t="array" ref="J44">IFERROR(INDEX('Autumn term 2025'!$AB$6:$AM$55,_xlfn.XMATCH(RIGHT(MFG!$A44,4)*1,'Autumn term 2025'!$AA$6:$AA$55),_xlfn.XMATCH(MFG!J$7,'Autumn term 2025'!$AB$5:$AM$5)),0)</f>
        <v>0</v>
      </c>
      <c r="K44" s="403" cm="1">
        <f t="array" ref="K44">IFERROR(INDEX('Autumn term 2025'!$AB$6:$AM$55,_xlfn.XMATCH(RIGHT(MFG!$A44,4)*1,'Autumn term 2025'!$AA$6:$AA$55),_xlfn.XMATCH(MFG!K$7,'Autumn term 2025'!$AB$5:$AM$5)),0)</f>
        <v>0</v>
      </c>
      <c r="L44" s="403" cm="1">
        <f t="array" ref="L44">IFERROR(INDEX('Autumn term 2025'!$AB$6:$AM$55,_xlfn.XMATCH(RIGHT(MFG!$A44,4)*1,'Autumn term 2025'!$AA$6:$AA$55),_xlfn.XMATCH(MFG!L$7,'Autumn term 2025'!$AB$5:$AM$5)),0)</f>
        <v>0</v>
      </c>
      <c r="M44" s="403" cm="1">
        <f t="array" ref="M44">IFERROR(INDEX('Autumn term 2025'!$AB$6:$AM$55,_xlfn.XMATCH(RIGHT(MFG!$A44,4)*1,'Autumn term 2025'!$AA$6:$AA$55),_xlfn.XMATCH(MFG!M$7,'Autumn term 2025'!$AB$5:$AM$5)),0)</f>
        <v>0</v>
      </c>
      <c r="N44" s="403" cm="1">
        <f t="array" ref="N44">IFERROR(INDEX('Autumn term 2025'!$AB$6:$AM$55,_xlfn.XMATCH(RIGHT(MFG!$A44,4)*1,'Autumn term 2025'!$AA$6:$AA$55),_xlfn.XMATCH(MFG!N$7,'Autumn term 2025'!$AB$5:$AM$5)),0)</f>
        <v>17</v>
      </c>
      <c r="O44" s="403" cm="1">
        <f t="array" ref="O44">IFERROR(INDEX('Autumn term 2025'!$AB$6:$AM$55,_xlfn.XMATCH(RIGHT(MFG!$A44,4)*1,'Autumn term 2025'!$AA$6:$AA$55),_xlfn.XMATCH(MFG!O$7,'Autumn term 2025'!$AB$5:$AM$5)),0)</f>
        <v>0</v>
      </c>
      <c r="P44" s="403" cm="1">
        <f t="array" ref="P44">IFERROR(INDEX('Autumn term 2025'!$AB$6:$AM$55,_xlfn.XMATCH(RIGHT(MFG!$A44,4)*1,'Autumn term 2025'!$AA$6:$AA$55),_xlfn.XMATCH(MFG!P$7,'Autumn term 2025'!$AB$5:$AM$5)),0)</f>
        <v>0</v>
      </c>
      <c r="Q44" s="404" cm="1">
        <f t="array" ref="Q44">IFERROR(INDEX('Autumn term 2025'!$AB$6:$AM$55,_xlfn.XMATCH(RIGHT(MFG!$A44,4)*1,'Autumn term 2025'!$AA$6:$AA$55),_xlfn.XMATCH(MFG!Q$7,'Autumn term 2025'!$AB$5:$AM$5)),0)</f>
        <v>0</v>
      </c>
      <c r="R44" s="412">
        <f>IF(VLOOKUP($A44,Data!$A$4:$I$81,9,FALSE)="PRI",G44*$G$2+H44*$H$2+I44*$I$2+J44*$J$2+K44*$K$2+L44*$L$2+M44*$M$2+N44*$N$2+O44*$O$2+P44*$P$2+Q44*$Q$2,G44*$G$3+H44*$H$3+I44*$I$3+J44*$J$3+K44*$K$3+L44*$L$3+M44*$M$3+N44*$N$3+O44*$O$3+P44*$P$3+Q44*$Q$3)</f>
        <v>160700</v>
      </c>
      <c r="S44" s="145">
        <f>IF(VLOOKUP($A44,Data!$A$4:$I$81,9,FALSE)="PRI",G44*$G$4+H44*$H$4+I44*$I$4+J44*$J$4+K44*$K$4+L44*$L$4+M44*$M$4+N44*$N$4+O44*$O$4+P44*$P$4+Q44*$Q$4,G44*$G$5+H44*$H$5+I44*$I$5+J44*$J$5+K44*$K$5+L44*$L$5+M44*$M$5+N44*$N$5+O44*$O$5+P44*$P$5+Q44*$Q$5)</f>
        <v>167108</v>
      </c>
      <c r="T44" s="229">
        <f>IFERROR(VLOOKUP(RIGHT($A44,4)*1,'Autumn term 2025'!$U$6:$X$16,3,FALSE),0)</f>
        <v>0</v>
      </c>
      <c r="U44" s="230">
        <f>IFERROR(VLOOKUP(RIGHT($A44,4)*1,'Autumn term 2025'!$U$6:$X$16,2,FALSE),0)</f>
        <v>0</v>
      </c>
      <c r="V44" s="231">
        <f>IF(VLOOKUP($A44,Data!$A$3:$I$81,9,FALSE)="Pri",T44*$T$2+U44*$U$2,T44*$T$3+U44*$U$3)</f>
        <v>0</v>
      </c>
      <c r="W44" s="232">
        <f>IF(VLOOKUP($A44,Data!$A$3:$I$81,9,FALSE)="Pri",T44*$T$4+U44*$U$4,T44*$T$5+U44*$U$5)</f>
        <v>0</v>
      </c>
      <c r="X44" s="235">
        <f t="shared" si="21"/>
        <v>0</v>
      </c>
      <c r="Y44" s="399">
        <f t="shared" si="22"/>
        <v>304700</v>
      </c>
      <c r="Z44" s="234">
        <f t="shared" si="23"/>
        <v>304700</v>
      </c>
      <c r="AA44" s="46">
        <f t="shared" si="24"/>
        <v>311108</v>
      </c>
      <c r="AB44" s="400">
        <f t="shared" si="25"/>
        <v>0</v>
      </c>
      <c r="AC44" s="21">
        <f t="shared" si="26"/>
        <v>0</v>
      </c>
      <c r="AD44" s="11"/>
      <c r="AE44" s="11"/>
      <c r="AF44" s="146">
        <f>IFERROR(VLOOKUP(A44,'25-26 MFG'!A:D,3,FALSE),0)</f>
        <v>0</v>
      </c>
      <c r="AG44" s="75">
        <f>IFERROR(VLOOKUP(A44,'25-26 MFG'!A:D,4,FALSE),0)</f>
        <v>0</v>
      </c>
      <c r="AH44" s="224">
        <f t="shared" si="27"/>
        <v>0</v>
      </c>
    </row>
    <row r="45" spans="1:34">
      <c r="A45" s="7">
        <v>8502776</v>
      </c>
      <c r="B45" s="142" t="s">
        <v>23</v>
      </c>
      <c r="C45" s="16">
        <f>IFERROR(VLOOKUP(RIGHT($A45,4)*1,'Autumn term 2025'!$AA$6:$AM$57,12,FALSE),0)</f>
        <v>12</v>
      </c>
      <c r="D45" s="16">
        <f>SUMIF(APN!$A$3:$A$97,(RIGHT($A45,4)*1),APN!$K$3:$K$97)</f>
        <v>15.5</v>
      </c>
      <c r="E45" s="209">
        <f>D45*Values!$J$17</f>
        <v>93000</v>
      </c>
      <c r="F45" s="410">
        <f t="shared" si="20"/>
        <v>93000</v>
      </c>
      <c r="G45" s="402" cm="1">
        <f t="array" ref="G45">IFERROR(INDEX('Autumn term 2025'!$AB$6:$AM$55,_xlfn.XMATCH(RIGHT(MFG!$A45,4)*1,'Autumn term 2025'!$AA$6:$AA$55),_xlfn.XMATCH(MFG!G$7,'Autumn term 2025'!$AB$5:$AM$5)),0)</f>
        <v>0</v>
      </c>
      <c r="H45" s="403" cm="1">
        <f t="array" ref="H45">IFERROR(INDEX('Autumn term 2025'!$AB$6:$AM$55,_xlfn.XMATCH(RIGHT(MFG!$A45,4)*1,'Autumn term 2025'!$AA$6:$AA$55),_xlfn.XMATCH(MFG!H$7,'Autumn term 2025'!$AB$5:$AM$5)),0)</f>
        <v>0</v>
      </c>
      <c r="I45" s="403" cm="1">
        <f t="array" ref="I45">IFERROR(INDEX('Autumn term 2025'!$AB$6:$AM$55,_xlfn.XMATCH(RIGHT(MFG!$A45,4)*1,'Autumn term 2025'!$AA$6:$AA$55),_xlfn.XMATCH(MFG!I$7,'Autumn term 2025'!$AB$5:$AM$5)),0)</f>
        <v>0</v>
      </c>
      <c r="J45" s="403" cm="1">
        <f t="array" ref="J45">IFERROR(INDEX('Autumn term 2025'!$AB$6:$AM$55,_xlfn.XMATCH(RIGHT(MFG!$A45,4)*1,'Autumn term 2025'!$AA$6:$AA$55),_xlfn.XMATCH(MFG!J$7,'Autumn term 2025'!$AB$5:$AM$5)),0)</f>
        <v>0</v>
      </c>
      <c r="K45" s="403" cm="1">
        <f t="array" ref="K45">IFERROR(INDEX('Autumn term 2025'!$AB$6:$AM$55,_xlfn.XMATCH(RIGHT(MFG!$A45,4)*1,'Autumn term 2025'!$AA$6:$AA$55),_xlfn.XMATCH(MFG!K$7,'Autumn term 2025'!$AB$5:$AM$5)),0)</f>
        <v>0</v>
      </c>
      <c r="L45" s="403" cm="1">
        <f t="array" ref="L45">IFERROR(INDEX('Autumn term 2025'!$AB$6:$AM$55,_xlfn.XMATCH(RIGHT(MFG!$A45,4)*1,'Autumn term 2025'!$AA$6:$AA$55),_xlfn.XMATCH(MFG!L$7,'Autumn term 2025'!$AB$5:$AM$5)),0)</f>
        <v>0</v>
      </c>
      <c r="M45" s="403" cm="1">
        <f t="array" ref="M45">IFERROR(INDEX('Autumn term 2025'!$AB$6:$AM$55,_xlfn.XMATCH(RIGHT(MFG!$A45,4)*1,'Autumn term 2025'!$AA$6:$AA$55),_xlfn.XMATCH(MFG!M$7,'Autumn term 2025'!$AB$5:$AM$5)),0)</f>
        <v>12</v>
      </c>
      <c r="N45" s="403" cm="1">
        <f t="array" ref="N45">IFERROR(INDEX('Autumn term 2025'!$AB$6:$AM$55,_xlfn.XMATCH(RIGHT(MFG!$A45,4)*1,'Autumn term 2025'!$AA$6:$AA$55),_xlfn.XMATCH(MFG!N$7,'Autumn term 2025'!$AB$5:$AM$5)),0)</f>
        <v>0</v>
      </c>
      <c r="O45" s="403" cm="1">
        <f t="array" ref="O45">IFERROR(INDEX('Autumn term 2025'!$AB$6:$AM$55,_xlfn.XMATCH(RIGHT(MFG!$A45,4)*1,'Autumn term 2025'!$AA$6:$AA$55),_xlfn.XMATCH(MFG!O$7,'Autumn term 2025'!$AB$5:$AM$5)),0)</f>
        <v>0</v>
      </c>
      <c r="P45" s="403" cm="1">
        <f t="array" ref="P45">IFERROR(INDEX('Autumn term 2025'!$AB$6:$AM$55,_xlfn.XMATCH(RIGHT(MFG!$A45,4)*1,'Autumn term 2025'!$AA$6:$AA$55),_xlfn.XMATCH(MFG!P$7,'Autumn term 2025'!$AB$5:$AM$5)),0)</f>
        <v>0</v>
      </c>
      <c r="Q45" s="404" cm="1">
        <f t="array" ref="Q45">IFERROR(INDEX('Autumn term 2025'!$AB$6:$AM$55,_xlfn.XMATCH(RIGHT(MFG!$A45,4)*1,'Autumn term 2025'!$AA$6:$AA$55),_xlfn.XMATCH(MFG!Q$7,'Autumn term 2025'!$AB$5:$AM$5)),0)</f>
        <v>0</v>
      </c>
      <c r="R45" s="412">
        <f>IF(VLOOKUP($A45,Data!$A$4:$I$81,9,FALSE)="PRI",G45*$G$2+H45*$H$2+I45*$I$2+J45*$J$2+K45*$K$2+L45*$L$2+M45*$M$2+N45*$N$2+O45*$O$2+P45*$P$2+Q45*$Q$2,G45*$G$3+H45*$H$3+I45*$I$3+J45*$J$3+K45*$K$3+L45*$L$3+M45*$M$3+N45*$N$3+O45*$O$3+P45*$P$3+Q45*$Q$3)</f>
        <v>149400</v>
      </c>
      <c r="S45" s="145">
        <f>IF(VLOOKUP($A45,Data!$A$4:$I$81,9,FALSE)="PRI",G45*$G$4+H45*$H$4+I45*$I$4+J45*$J$4+K45*$K$4+L45*$L$4+M45*$M$4+N45*$N$4+O45*$O$4+P45*$P$4+Q45*$Q$4,G45*$G$5+H45*$H$5+I45*$I$5+J45*$J$5+K45*$K$5+L45*$L$5+M45*$M$5+N45*$N$5+O45*$O$5+P45*$P$5+Q45*$Q$5)</f>
        <v>154056</v>
      </c>
      <c r="T45" s="229">
        <f>IFERROR(VLOOKUP(RIGHT($A45,4)*1,'Autumn term 2025'!$U$6:$X$16,3,FALSE),0)</f>
        <v>0</v>
      </c>
      <c r="U45" s="230">
        <f>IFERROR(VLOOKUP(RIGHT($A45,4)*1,'Autumn term 2025'!$U$6:$X$16,2,FALSE),0)</f>
        <v>0</v>
      </c>
      <c r="V45" s="231">
        <f>IF(VLOOKUP($A45,Data!$A$3:$I$81,9,FALSE)="Pri",T45*$T$2+U45*$U$2,T45*$T$3+U45*$U$3)</f>
        <v>0</v>
      </c>
      <c r="W45" s="232">
        <f>IF(VLOOKUP($A45,Data!$A$3:$I$81,9,FALSE)="Pri",T45*$T$4+U45*$U$4,T45*$T$5+U45*$U$5)</f>
        <v>0</v>
      </c>
      <c r="X45" s="235">
        <f t="shared" si="21"/>
        <v>0</v>
      </c>
      <c r="Y45" s="399">
        <f t="shared" si="22"/>
        <v>242400</v>
      </c>
      <c r="Z45" s="234">
        <f t="shared" si="23"/>
        <v>242400</v>
      </c>
      <c r="AA45" s="46">
        <f t="shared" si="24"/>
        <v>247056</v>
      </c>
      <c r="AB45" s="400">
        <f t="shared" si="25"/>
        <v>0</v>
      </c>
      <c r="AC45" s="21">
        <f t="shared" si="26"/>
        <v>0</v>
      </c>
      <c r="AD45" s="11"/>
      <c r="AE45" s="11"/>
      <c r="AF45" s="146">
        <f>IFERROR(VLOOKUP(A45,'25-26 MFG'!A:D,3,FALSE),0)</f>
        <v>0</v>
      </c>
      <c r="AG45" s="75">
        <f>IFERROR(VLOOKUP(A45,'25-26 MFG'!A:D,4,FALSE),0)</f>
        <v>0</v>
      </c>
      <c r="AH45" s="224">
        <f t="shared" si="27"/>
        <v>0</v>
      </c>
    </row>
    <row r="46" spans="1:34">
      <c r="A46" s="7">
        <v>8502777</v>
      </c>
      <c r="B46" s="142" t="s">
        <v>24</v>
      </c>
      <c r="C46" s="16">
        <f>IFERROR(VLOOKUP(RIGHT($A46,4)*1,'Autumn term 2025'!$AA$6:$AM$57,12,FALSE),0)</f>
        <v>27</v>
      </c>
      <c r="D46" s="16">
        <f>SUMIF(APN!$A$3:$A$97,(RIGHT($A46,4)*1),APN!$K$3:$K$97)</f>
        <v>32.25</v>
      </c>
      <c r="E46" s="209">
        <f>D46*Values!$J$17</f>
        <v>193500</v>
      </c>
      <c r="F46" s="410">
        <f t="shared" si="20"/>
        <v>193500</v>
      </c>
      <c r="G46" s="402" cm="1">
        <f t="array" ref="G46">IFERROR(INDEX('Autumn term 2025'!$AB$6:$AM$55,_xlfn.XMATCH(RIGHT(MFG!$A46,4)*1,'Autumn term 2025'!$AA$6:$AA$55),_xlfn.XMATCH(MFG!G$7,'Autumn term 2025'!$AB$5:$AM$5)),0)</f>
        <v>23</v>
      </c>
      <c r="H46" s="403" cm="1">
        <f t="array" ref="H46">IFERROR(INDEX('Autumn term 2025'!$AB$6:$AM$55,_xlfn.XMATCH(RIGHT(MFG!$A46,4)*1,'Autumn term 2025'!$AA$6:$AA$55),_xlfn.XMATCH(MFG!H$7,'Autumn term 2025'!$AB$5:$AM$5)),0)</f>
        <v>0</v>
      </c>
      <c r="I46" s="403" cm="1">
        <f t="array" ref="I46">IFERROR(INDEX('Autumn term 2025'!$AB$6:$AM$55,_xlfn.XMATCH(RIGHT(MFG!$A46,4)*1,'Autumn term 2025'!$AA$6:$AA$55),_xlfn.XMATCH(MFG!I$7,'Autumn term 2025'!$AB$5:$AM$5)),0)</f>
        <v>0</v>
      </c>
      <c r="J46" s="403" cm="1">
        <f t="array" ref="J46">IFERROR(INDEX('Autumn term 2025'!$AB$6:$AM$55,_xlfn.XMATCH(RIGHT(MFG!$A46,4)*1,'Autumn term 2025'!$AA$6:$AA$55),_xlfn.XMATCH(MFG!J$7,'Autumn term 2025'!$AB$5:$AM$5)),0)</f>
        <v>0</v>
      </c>
      <c r="K46" s="403" cm="1">
        <f t="array" ref="K46">IFERROR(INDEX('Autumn term 2025'!$AB$6:$AM$55,_xlfn.XMATCH(RIGHT(MFG!$A46,4)*1,'Autumn term 2025'!$AA$6:$AA$55),_xlfn.XMATCH(MFG!K$7,'Autumn term 2025'!$AB$5:$AM$5)),0)</f>
        <v>0</v>
      </c>
      <c r="L46" s="403" cm="1">
        <f t="array" ref="L46">IFERROR(INDEX('Autumn term 2025'!$AB$6:$AM$55,_xlfn.XMATCH(RIGHT(MFG!$A46,4)*1,'Autumn term 2025'!$AA$6:$AA$55),_xlfn.XMATCH(MFG!L$7,'Autumn term 2025'!$AB$5:$AM$5)),0)</f>
        <v>0</v>
      </c>
      <c r="M46" s="403" cm="1">
        <f t="array" ref="M46">IFERROR(INDEX('Autumn term 2025'!$AB$6:$AM$55,_xlfn.XMATCH(RIGHT(MFG!$A46,4)*1,'Autumn term 2025'!$AA$6:$AA$55),_xlfn.XMATCH(MFG!M$7,'Autumn term 2025'!$AB$5:$AM$5)),0)</f>
        <v>0</v>
      </c>
      <c r="N46" s="403" cm="1">
        <f t="array" ref="N46">IFERROR(INDEX('Autumn term 2025'!$AB$6:$AM$55,_xlfn.XMATCH(RIGHT(MFG!$A46,4)*1,'Autumn term 2025'!$AA$6:$AA$55),_xlfn.XMATCH(MFG!N$7,'Autumn term 2025'!$AB$5:$AM$5)),0)</f>
        <v>4</v>
      </c>
      <c r="O46" s="403" cm="1">
        <f t="array" ref="O46">IFERROR(INDEX('Autumn term 2025'!$AB$6:$AM$55,_xlfn.XMATCH(RIGHT(MFG!$A46,4)*1,'Autumn term 2025'!$AA$6:$AA$55),_xlfn.XMATCH(MFG!O$7,'Autumn term 2025'!$AB$5:$AM$5)),0)</f>
        <v>0</v>
      </c>
      <c r="P46" s="403" cm="1">
        <f t="array" ref="P46">IFERROR(INDEX('Autumn term 2025'!$AB$6:$AM$55,_xlfn.XMATCH(RIGHT(MFG!$A46,4)*1,'Autumn term 2025'!$AA$6:$AA$55),_xlfn.XMATCH(MFG!P$7,'Autumn term 2025'!$AB$5:$AM$5)),0)</f>
        <v>0</v>
      </c>
      <c r="Q46" s="404" cm="1">
        <f t="array" ref="Q46">IFERROR(INDEX('Autumn term 2025'!$AB$6:$AM$55,_xlfn.XMATCH(RIGHT(MFG!$A46,4)*1,'Autumn term 2025'!$AA$6:$AA$55),_xlfn.XMATCH(MFG!Q$7,'Autumn term 2025'!$AB$5:$AM$5)),0)</f>
        <v>0</v>
      </c>
      <c r="R46" s="412">
        <f>IF(VLOOKUP($A46,Data!$A$4:$I$81,9,FALSE)="PRI",G46*$G$2+H46*$H$2+I46*$I$2+J46*$J$2+K46*$K$2+L46*$L$2+M46*$M$2+N46*$N$2+O46*$O$2+P46*$P$2+Q46*$Q$2,G46*$G$3+H46*$H$3+I46*$I$3+J46*$J$3+K46*$K$3+L46*$L$3+M46*$M$3+N46*$N$3+O46*$O$3+P46*$P$3+Q46*$Q$3)</f>
        <v>267484</v>
      </c>
      <c r="S46" s="145">
        <f>IF(VLOOKUP($A46,Data!$A$4:$I$81,9,FALSE)="PRI",G46*$G$4+H46*$H$4+I46*$I$4+J46*$J$4+K46*$K$4+L46*$L$4+M46*$M$4+N46*$N$4+O46*$O$4+P46*$P$4+Q46*$Q$4,G46*$G$5+H46*$H$5+I46*$I$5+J46*$J$5+K46*$K$5+L46*$L$5+M46*$M$5+N46*$N$5+O46*$O$5+P46*$P$5+Q46*$Q$5)</f>
        <v>276508</v>
      </c>
      <c r="T46" s="229">
        <f>IFERROR(VLOOKUP(RIGHT($A46,4)*1,'Autumn term 2025'!$U$6:$X$16,3,FALSE),0)</f>
        <v>0</v>
      </c>
      <c r="U46" s="230">
        <f>IFERROR(VLOOKUP(RIGHT($A46,4)*1,'Autumn term 2025'!$U$6:$X$16,2,FALSE),0)</f>
        <v>0</v>
      </c>
      <c r="V46" s="231">
        <f>IF(VLOOKUP($A46,Data!$A$3:$I$81,9,FALSE)="Pri",T46*$T$2+U46*$U$2,T46*$T$3+U46*$U$3)</f>
        <v>0</v>
      </c>
      <c r="W46" s="232">
        <f>IF(VLOOKUP($A46,Data!$A$3:$I$81,9,FALSE)="Pri",T46*$T$4+U46*$U$4,T46*$T$5+U46*$U$5)</f>
        <v>0</v>
      </c>
      <c r="X46" s="235">
        <f t="shared" si="21"/>
        <v>0</v>
      </c>
      <c r="Y46" s="399">
        <f t="shared" si="22"/>
        <v>460984</v>
      </c>
      <c r="Z46" s="234">
        <f t="shared" si="23"/>
        <v>460984</v>
      </c>
      <c r="AA46" s="46">
        <f t="shared" si="24"/>
        <v>470008</v>
      </c>
      <c r="AB46" s="400">
        <f t="shared" si="25"/>
        <v>0</v>
      </c>
      <c r="AC46" s="21">
        <f t="shared" si="26"/>
        <v>0</v>
      </c>
      <c r="AD46" s="11"/>
      <c r="AE46" s="11"/>
      <c r="AF46" s="146">
        <f>IFERROR(VLOOKUP(A46,'25-26 MFG'!A:D,3,FALSE),0)</f>
        <v>0</v>
      </c>
      <c r="AG46" s="75">
        <f>IFERROR(VLOOKUP(A46,'25-26 MFG'!A:D,4,FALSE),0)</f>
        <v>0</v>
      </c>
      <c r="AH46" s="224">
        <f t="shared" si="27"/>
        <v>0</v>
      </c>
    </row>
    <row r="47" spans="1:34">
      <c r="A47" s="7">
        <v>8503101</v>
      </c>
      <c r="B47" s="142" t="s">
        <v>25</v>
      </c>
      <c r="C47" s="16">
        <f>IFERROR(VLOOKUP(RIGHT($A47,4)*1,'Autumn term 2025'!$AA$6:$AM$57,12,FALSE),0)</f>
        <v>9</v>
      </c>
      <c r="D47" s="16">
        <f>SUMIF(APN!$A$3:$A$97,(RIGHT($A47,4)*1),APN!$K$3:$K$97)</f>
        <v>14</v>
      </c>
      <c r="E47" s="209">
        <f>D47*Values!$J$17</f>
        <v>84000</v>
      </c>
      <c r="F47" s="410">
        <f t="shared" si="20"/>
        <v>84000</v>
      </c>
      <c r="G47" s="402" cm="1">
        <f t="array" ref="G47">IFERROR(INDEX('Autumn term 2025'!$AB$6:$AM$55,_xlfn.XMATCH(RIGHT(MFG!$A47,4)*1,'Autumn term 2025'!$AA$6:$AA$55),_xlfn.XMATCH(MFG!G$7,'Autumn term 2025'!$AB$5:$AM$5)),0)</f>
        <v>0</v>
      </c>
      <c r="H47" s="403" cm="1">
        <f t="array" ref="H47">IFERROR(INDEX('Autumn term 2025'!$AB$6:$AM$55,_xlfn.XMATCH(RIGHT(MFG!$A47,4)*1,'Autumn term 2025'!$AA$6:$AA$55),_xlfn.XMATCH(MFG!H$7,'Autumn term 2025'!$AB$5:$AM$5)),0)</f>
        <v>9</v>
      </c>
      <c r="I47" s="403" cm="1">
        <f t="array" ref="I47">IFERROR(INDEX('Autumn term 2025'!$AB$6:$AM$55,_xlfn.XMATCH(RIGHT(MFG!$A47,4)*1,'Autumn term 2025'!$AA$6:$AA$55),_xlfn.XMATCH(MFG!I$7,'Autumn term 2025'!$AB$5:$AM$5)),0)</f>
        <v>0</v>
      </c>
      <c r="J47" s="403" cm="1">
        <f t="array" ref="J47">IFERROR(INDEX('Autumn term 2025'!$AB$6:$AM$55,_xlfn.XMATCH(RIGHT(MFG!$A47,4)*1,'Autumn term 2025'!$AA$6:$AA$55),_xlfn.XMATCH(MFG!J$7,'Autumn term 2025'!$AB$5:$AM$5)),0)</f>
        <v>0</v>
      </c>
      <c r="K47" s="403" cm="1">
        <f t="array" ref="K47">IFERROR(INDEX('Autumn term 2025'!$AB$6:$AM$55,_xlfn.XMATCH(RIGHT(MFG!$A47,4)*1,'Autumn term 2025'!$AA$6:$AA$55),_xlfn.XMATCH(MFG!K$7,'Autumn term 2025'!$AB$5:$AM$5)),0)</f>
        <v>0</v>
      </c>
      <c r="L47" s="403" cm="1">
        <f t="array" ref="L47">IFERROR(INDEX('Autumn term 2025'!$AB$6:$AM$55,_xlfn.XMATCH(RIGHT(MFG!$A47,4)*1,'Autumn term 2025'!$AA$6:$AA$55),_xlfn.XMATCH(MFG!L$7,'Autumn term 2025'!$AB$5:$AM$5)),0)</f>
        <v>0</v>
      </c>
      <c r="M47" s="403" cm="1">
        <f t="array" ref="M47">IFERROR(INDEX('Autumn term 2025'!$AB$6:$AM$55,_xlfn.XMATCH(RIGHT(MFG!$A47,4)*1,'Autumn term 2025'!$AA$6:$AA$55),_xlfn.XMATCH(MFG!M$7,'Autumn term 2025'!$AB$5:$AM$5)),0)</f>
        <v>0</v>
      </c>
      <c r="N47" s="403" cm="1">
        <f t="array" ref="N47">IFERROR(INDEX('Autumn term 2025'!$AB$6:$AM$55,_xlfn.XMATCH(RIGHT(MFG!$A47,4)*1,'Autumn term 2025'!$AA$6:$AA$55),_xlfn.XMATCH(MFG!N$7,'Autumn term 2025'!$AB$5:$AM$5)),0)</f>
        <v>0</v>
      </c>
      <c r="O47" s="403" cm="1">
        <f t="array" ref="O47">IFERROR(INDEX('Autumn term 2025'!$AB$6:$AM$55,_xlfn.XMATCH(RIGHT(MFG!$A47,4)*1,'Autumn term 2025'!$AA$6:$AA$55),_xlfn.XMATCH(MFG!O$7,'Autumn term 2025'!$AB$5:$AM$5)),0)</f>
        <v>0</v>
      </c>
      <c r="P47" s="403" cm="1">
        <f t="array" ref="P47">IFERROR(INDEX('Autumn term 2025'!$AB$6:$AM$55,_xlfn.XMATCH(RIGHT(MFG!$A47,4)*1,'Autumn term 2025'!$AA$6:$AA$55),_xlfn.XMATCH(MFG!P$7,'Autumn term 2025'!$AB$5:$AM$5)),0)</f>
        <v>0</v>
      </c>
      <c r="Q47" s="404" cm="1">
        <f t="array" ref="Q47">IFERROR(INDEX('Autumn term 2025'!$AB$6:$AM$55,_xlfn.XMATCH(RIGHT(MFG!$A47,4)*1,'Autumn term 2025'!$AA$6:$AA$55),_xlfn.XMATCH(MFG!Q$7,'Autumn term 2025'!$AB$5:$AM$5)),0)</f>
        <v>0</v>
      </c>
      <c r="R47" s="412">
        <f>IF(VLOOKUP($A47,Data!$A$4:$I$81,9,FALSE)="PRI",G47*$G$2+H47*$H$2+I47*$I$2+J47*$J$2+K47*$K$2+L47*$L$2+M47*$M$2+N47*$N$2+O47*$O$2+P47*$P$2+Q47*$Q$2,G47*$G$3+H47*$H$3+I47*$I$3+J47*$J$3+K47*$K$3+L47*$L$3+M47*$M$3+N47*$N$3+O47*$O$3+P47*$P$3+Q47*$Q$3)</f>
        <v>75582</v>
      </c>
      <c r="S47" s="145">
        <f>IF(VLOOKUP($A47,Data!$A$4:$I$81,9,FALSE)="PRI",G47*$G$4+H47*$H$4+I47*$I$4+J47*$J$4+K47*$K$4+L47*$L$4+M47*$M$4+N47*$N$4+O47*$O$4+P47*$P$4+Q47*$Q$4,G47*$G$5+H47*$H$5+I47*$I$5+J47*$J$5+K47*$K$5+L47*$L$5+M47*$M$5+N47*$N$5+O47*$O$5+P47*$P$5+Q47*$Q$5)</f>
        <v>78309</v>
      </c>
      <c r="T47" s="229">
        <f>IFERROR(VLOOKUP(RIGHT($A47,4)*1,'Autumn term 2025'!$U$6:$X$16,3,FALSE),0)</f>
        <v>0</v>
      </c>
      <c r="U47" s="230">
        <f>IFERROR(VLOOKUP(RIGHT($A47,4)*1,'Autumn term 2025'!$U$6:$X$16,2,FALSE),0)</f>
        <v>8</v>
      </c>
      <c r="V47" s="231">
        <f>IF(VLOOKUP($A47,Data!$A$3:$I$81,9,FALSE)="Pri",T47*$T$2+U47*$U$2,T47*$T$3+U47*$U$3)</f>
        <v>66552</v>
      </c>
      <c r="W47" s="232">
        <f>IF(VLOOKUP($A47,Data!$A$3:$I$81,9,FALSE)="Pri",T47*$T$4+U47*$U$4,T47*$T$5+U47*$U$5)</f>
        <v>67952</v>
      </c>
      <c r="X47" s="235">
        <f t="shared" si="21"/>
        <v>0</v>
      </c>
      <c r="Y47" s="399">
        <f t="shared" si="22"/>
        <v>226134</v>
      </c>
      <c r="Z47" s="234">
        <f t="shared" si="23"/>
        <v>226134</v>
      </c>
      <c r="AA47" s="46">
        <f t="shared" si="24"/>
        <v>230261</v>
      </c>
      <c r="AB47" s="400">
        <f t="shared" si="25"/>
        <v>0</v>
      </c>
      <c r="AC47" s="21">
        <f t="shared" si="26"/>
        <v>0</v>
      </c>
      <c r="AD47" s="11"/>
      <c r="AE47" s="11"/>
      <c r="AF47" s="146">
        <f>IFERROR(VLOOKUP(A47,'25-26 MFG'!A:D,3,FALSE),0)</f>
        <v>0</v>
      </c>
      <c r="AG47" s="75">
        <f>IFERROR(VLOOKUP(A47,'25-26 MFG'!A:D,4,FALSE),0)</f>
        <v>0</v>
      </c>
      <c r="AH47" s="224">
        <f t="shared" si="27"/>
        <v>0</v>
      </c>
    </row>
    <row r="48" spans="1:34">
      <c r="A48" s="7">
        <v>8503124</v>
      </c>
      <c r="B48" s="142" t="s">
        <v>163</v>
      </c>
      <c r="C48" s="16">
        <f>IFERROR(VLOOKUP(RIGHT($A48,4)*1,'Autumn term 2025'!$AA$6:$AM$57,12,FALSE),0)</f>
        <v>12</v>
      </c>
      <c r="D48" s="16">
        <f>SUMIF(APN!$A$3:$A$97,(RIGHT($A48,4)*1),APN!$K$3:$K$97)</f>
        <v>6.75</v>
      </c>
      <c r="E48" s="209">
        <f>D48*Values!$J$17</f>
        <v>40500</v>
      </c>
      <c r="F48" s="410">
        <f t="shared" si="20"/>
        <v>40500</v>
      </c>
      <c r="G48" s="402" cm="1">
        <f t="array" ref="G48">IFERROR(INDEX('Autumn term 2025'!$AB$6:$AM$55,_xlfn.XMATCH(RIGHT(MFG!$A48,4)*1,'Autumn term 2025'!$AA$6:$AA$55),_xlfn.XMATCH(MFG!G$7,'Autumn term 2025'!$AB$5:$AM$5)),0)</f>
        <v>0</v>
      </c>
      <c r="H48" s="403" cm="1">
        <f t="array" ref="H48">IFERROR(INDEX('Autumn term 2025'!$AB$6:$AM$55,_xlfn.XMATCH(RIGHT(MFG!$A48,4)*1,'Autumn term 2025'!$AA$6:$AA$55),_xlfn.XMATCH(MFG!H$7,'Autumn term 2025'!$AB$5:$AM$5)),0)</f>
        <v>0</v>
      </c>
      <c r="I48" s="403" cm="1">
        <f t="array" ref="I48">IFERROR(INDEX('Autumn term 2025'!$AB$6:$AM$55,_xlfn.XMATCH(RIGHT(MFG!$A48,4)*1,'Autumn term 2025'!$AA$6:$AA$55),_xlfn.XMATCH(MFG!I$7,'Autumn term 2025'!$AB$5:$AM$5)),0)</f>
        <v>0</v>
      </c>
      <c r="J48" s="403" cm="1">
        <f t="array" ref="J48">IFERROR(INDEX('Autumn term 2025'!$AB$6:$AM$55,_xlfn.XMATCH(RIGHT(MFG!$A48,4)*1,'Autumn term 2025'!$AA$6:$AA$55),_xlfn.XMATCH(MFG!J$7,'Autumn term 2025'!$AB$5:$AM$5)),0)</f>
        <v>0</v>
      </c>
      <c r="K48" s="403" cm="1">
        <f t="array" ref="K48">IFERROR(INDEX('Autumn term 2025'!$AB$6:$AM$55,_xlfn.XMATCH(RIGHT(MFG!$A48,4)*1,'Autumn term 2025'!$AA$6:$AA$55),_xlfn.XMATCH(MFG!K$7,'Autumn term 2025'!$AB$5:$AM$5)),0)</f>
        <v>0</v>
      </c>
      <c r="L48" s="403" cm="1">
        <f t="array" ref="L48">IFERROR(INDEX('Autumn term 2025'!$AB$6:$AM$55,_xlfn.XMATCH(RIGHT(MFG!$A48,4)*1,'Autumn term 2025'!$AA$6:$AA$55),_xlfn.XMATCH(MFG!L$7,'Autumn term 2025'!$AB$5:$AM$5)),0)</f>
        <v>0</v>
      </c>
      <c r="M48" s="403" cm="1">
        <f t="array" ref="M48">IFERROR(INDEX('Autumn term 2025'!$AB$6:$AM$55,_xlfn.XMATCH(RIGHT(MFG!$A48,4)*1,'Autumn term 2025'!$AA$6:$AA$55),_xlfn.XMATCH(MFG!M$7,'Autumn term 2025'!$AB$5:$AM$5)),0)</f>
        <v>12</v>
      </c>
      <c r="N48" s="403" cm="1">
        <f t="array" ref="N48">IFERROR(INDEX('Autumn term 2025'!$AB$6:$AM$55,_xlfn.XMATCH(RIGHT(MFG!$A48,4)*1,'Autumn term 2025'!$AA$6:$AA$55),_xlfn.XMATCH(MFG!N$7,'Autumn term 2025'!$AB$5:$AM$5)),0)</f>
        <v>0</v>
      </c>
      <c r="O48" s="403" cm="1">
        <f t="array" ref="O48">IFERROR(INDEX('Autumn term 2025'!$AB$6:$AM$55,_xlfn.XMATCH(RIGHT(MFG!$A48,4)*1,'Autumn term 2025'!$AA$6:$AA$55),_xlfn.XMATCH(MFG!O$7,'Autumn term 2025'!$AB$5:$AM$5)),0)</f>
        <v>0</v>
      </c>
      <c r="P48" s="403" cm="1">
        <f t="array" ref="P48">IFERROR(INDEX('Autumn term 2025'!$AB$6:$AM$55,_xlfn.XMATCH(RIGHT(MFG!$A48,4)*1,'Autumn term 2025'!$AA$6:$AA$55),_xlfn.XMATCH(MFG!P$7,'Autumn term 2025'!$AB$5:$AM$5)),0)</f>
        <v>0</v>
      </c>
      <c r="Q48" s="404" cm="1">
        <f t="array" ref="Q48">IFERROR(INDEX('Autumn term 2025'!$AB$6:$AM$55,_xlfn.XMATCH(RIGHT(MFG!$A48,4)*1,'Autumn term 2025'!$AA$6:$AA$55),_xlfn.XMATCH(MFG!Q$7,'Autumn term 2025'!$AB$5:$AM$5)),0)</f>
        <v>0</v>
      </c>
      <c r="R48" s="412">
        <f>IF(VLOOKUP($A48,Data!$A$4:$I$81,9,FALSE)="PRI",G48*$G$2+H48*$H$2+I48*$I$2+J48*$J$2+K48*$K$2+L48*$L$2+M48*$M$2+N48*$N$2+O48*$O$2+P48*$P$2+Q48*$Q$2,G48*$G$3+H48*$H$3+I48*$I$3+J48*$J$3+K48*$K$3+L48*$L$3+M48*$M$3+N48*$N$3+O48*$O$3+P48*$P$3+Q48*$Q$3)</f>
        <v>149400</v>
      </c>
      <c r="S48" s="145">
        <f>IF(VLOOKUP($A48,Data!$A$4:$I$81,9,FALSE)="PRI",G48*$G$4+H48*$H$4+I48*$I$4+J48*$J$4+K48*$K$4+L48*$L$4+M48*$M$4+N48*$N$4+O48*$O$4+P48*$P$4+Q48*$Q$4,G48*$G$5+H48*$H$5+I48*$I$5+J48*$J$5+K48*$K$5+L48*$L$5+M48*$M$5+N48*$N$5+O48*$O$5+P48*$P$5+Q48*$Q$5)</f>
        <v>154056</v>
      </c>
      <c r="T48" s="229">
        <f>IFERROR(VLOOKUP(RIGHT($A48,4)*1,'Autumn term 2025'!$U$6:$X$16,3,FALSE),0)</f>
        <v>0</v>
      </c>
      <c r="U48" s="230">
        <f>IFERROR(VLOOKUP(RIGHT($A48,4)*1,'Autumn term 2025'!$U$6:$X$16,2,FALSE),0)</f>
        <v>0</v>
      </c>
      <c r="V48" s="231">
        <f>IF(VLOOKUP($A48,Data!$A$3:$I$81,9,FALSE)="Pri",T48*$T$2+U48*$U$2,T48*$T$3+U48*$U$3)</f>
        <v>0</v>
      </c>
      <c r="W48" s="232">
        <f>IF(VLOOKUP($A48,Data!$A$3:$I$81,9,FALSE)="Pri",T48*$T$4+U48*$U$4,T48*$T$5+U48*$U$5)</f>
        <v>0</v>
      </c>
      <c r="X48" s="235">
        <f t="shared" si="21"/>
        <v>0</v>
      </c>
      <c r="Y48" s="399">
        <f t="shared" si="22"/>
        <v>189900</v>
      </c>
      <c r="Z48" s="234">
        <f t="shared" si="23"/>
        <v>189900</v>
      </c>
      <c r="AA48" s="46">
        <f t="shared" si="24"/>
        <v>194556</v>
      </c>
      <c r="AB48" s="400">
        <f t="shared" si="25"/>
        <v>0</v>
      </c>
      <c r="AC48" s="21">
        <f t="shared" si="26"/>
        <v>0</v>
      </c>
      <c r="AD48" s="11"/>
      <c r="AE48" s="11"/>
      <c r="AF48" s="146">
        <f>IFERROR(VLOOKUP(A48,'25-26 MFG'!A:D,3,FALSE),0)</f>
        <v>0</v>
      </c>
      <c r="AG48" s="75">
        <f>IFERROR(VLOOKUP(A48,'25-26 MFG'!A:D,4,FALSE),0)</f>
        <v>0</v>
      </c>
      <c r="AH48" s="224">
        <f t="shared" si="27"/>
        <v>0</v>
      </c>
    </row>
    <row r="49" spans="1:34">
      <c r="A49" s="7">
        <v>8503192</v>
      </c>
      <c r="B49" s="142" t="s">
        <v>164</v>
      </c>
      <c r="C49" s="16">
        <f>IFERROR(VLOOKUP(RIGHT($A49,4)*1,'Autumn term 2025'!$AA$6:$AM$57,12,FALSE),0)</f>
        <v>0</v>
      </c>
      <c r="D49" s="16">
        <f>SUMIF(APN!$A$3:$A$97,(RIGHT($A49,4)*1),APN!$K$3:$K$97)</f>
        <v>4.666666666666667</v>
      </c>
      <c r="E49" s="209">
        <f>D49*Values!$J$17</f>
        <v>28000</v>
      </c>
      <c r="F49" s="410">
        <f t="shared" si="20"/>
        <v>28000</v>
      </c>
      <c r="G49" s="402" cm="1">
        <f t="array" ref="G49">IFERROR(INDEX('Autumn term 2025'!$AB$6:$AM$55,_xlfn.XMATCH(RIGHT(MFG!$A49,4)*1,'Autumn term 2025'!$AA$6:$AA$55),_xlfn.XMATCH(MFG!G$7,'Autumn term 2025'!$AB$5:$AM$5)),0)</f>
        <v>0</v>
      </c>
      <c r="H49" s="403" cm="1">
        <f t="array" ref="H49">IFERROR(INDEX('Autumn term 2025'!$AB$6:$AM$55,_xlfn.XMATCH(RIGHT(MFG!$A49,4)*1,'Autumn term 2025'!$AA$6:$AA$55),_xlfn.XMATCH(MFG!H$7,'Autumn term 2025'!$AB$5:$AM$5)),0)</f>
        <v>0</v>
      </c>
      <c r="I49" s="403" cm="1">
        <f t="array" ref="I49">IFERROR(INDEX('Autumn term 2025'!$AB$6:$AM$55,_xlfn.XMATCH(RIGHT(MFG!$A49,4)*1,'Autumn term 2025'!$AA$6:$AA$55),_xlfn.XMATCH(MFG!I$7,'Autumn term 2025'!$AB$5:$AM$5)),0)</f>
        <v>0</v>
      </c>
      <c r="J49" s="403" cm="1">
        <f t="array" ref="J49">IFERROR(INDEX('Autumn term 2025'!$AB$6:$AM$55,_xlfn.XMATCH(RIGHT(MFG!$A49,4)*1,'Autumn term 2025'!$AA$6:$AA$55),_xlfn.XMATCH(MFG!J$7,'Autumn term 2025'!$AB$5:$AM$5)),0)</f>
        <v>0</v>
      </c>
      <c r="K49" s="403" cm="1">
        <f t="array" ref="K49">IFERROR(INDEX('Autumn term 2025'!$AB$6:$AM$55,_xlfn.XMATCH(RIGHT(MFG!$A49,4)*1,'Autumn term 2025'!$AA$6:$AA$55),_xlfn.XMATCH(MFG!K$7,'Autumn term 2025'!$AB$5:$AM$5)),0)</f>
        <v>0</v>
      </c>
      <c r="L49" s="403" cm="1">
        <f t="array" ref="L49">IFERROR(INDEX('Autumn term 2025'!$AB$6:$AM$55,_xlfn.XMATCH(RIGHT(MFG!$A49,4)*1,'Autumn term 2025'!$AA$6:$AA$55),_xlfn.XMATCH(MFG!L$7,'Autumn term 2025'!$AB$5:$AM$5)),0)</f>
        <v>0</v>
      </c>
      <c r="M49" s="403" cm="1">
        <f t="array" ref="M49">IFERROR(INDEX('Autumn term 2025'!$AB$6:$AM$55,_xlfn.XMATCH(RIGHT(MFG!$A49,4)*1,'Autumn term 2025'!$AA$6:$AA$55),_xlfn.XMATCH(MFG!M$7,'Autumn term 2025'!$AB$5:$AM$5)),0)</f>
        <v>0</v>
      </c>
      <c r="N49" s="403" cm="1">
        <f t="array" ref="N49">IFERROR(INDEX('Autumn term 2025'!$AB$6:$AM$55,_xlfn.XMATCH(RIGHT(MFG!$A49,4)*1,'Autumn term 2025'!$AA$6:$AA$55),_xlfn.XMATCH(MFG!N$7,'Autumn term 2025'!$AB$5:$AM$5)),0)</f>
        <v>0</v>
      </c>
      <c r="O49" s="403" cm="1">
        <f t="array" ref="O49">IFERROR(INDEX('Autumn term 2025'!$AB$6:$AM$55,_xlfn.XMATCH(RIGHT(MFG!$A49,4)*1,'Autumn term 2025'!$AA$6:$AA$55),_xlfn.XMATCH(MFG!O$7,'Autumn term 2025'!$AB$5:$AM$5)),0)</f>
        <v>0</v>
      </c>
      <c r="P49" s="403" cm="1">
        <f t="array" ref="P49">IFERROR(INDEX('Autumn term 2025'!$AB$6:$AM$55,_xlfn.XMATCH(RIGHT(MFG!$A49,4)*1,'Autumn term 2025'!$AA$6:$AA$55),_xlfn.XMATCH(MFG!P$7,'Autumn term 2025'!$AB$5:$AM$5)),0)</f>
        <v>0</v>
      </c>
      <c r="Q49" s="404" cm="1">
        <f t="array" ref="Q49">IFERROR(INDEX('Autumn term 2025'!$AB$6:$AM$55,_xlfn.XMATCH(RIGHT(MFG!$A49,4)*1,'Autumn term 2025'!$AA$6:$AA$55),_xlfn.XMATCH(MFG!Q$7,'Autumn term 2025'!$AB$5:$AM$5)),0)</f>
        <v>0</v>
      </c>
      <c r="R49" s="412">
        <f>IF(VLOOKUP($A49,Data!$A$4:$I$81,9,FALSE)="PRI",G49*$G$2+H49*$H$2+I49*$I$2+J49*$J$2+K49*$K$2+L49*$L$2+M49*$M$2+N49*$N$2+O49*$O$2+P49*$P$2+Q49*$Q$2,G49*$G$3+H49*$H$3+I49*$I$3+J49*$J$3+K49*$K$3+L49*$L$3+M49*$M$3+N49*$N$3+O49*$O$3+P49*$P$3+Q49*$Q$3)</f>
        <v>0</v>
      </c>
      <c r="S49" s="145">
        <f>IF(VLOOKUP($A49,Data!$A$4:$I$81,9,FALSE)="PRI",G49*$G$4+H49*$H$4+I49*$I$4+J49*$J$4+K49*$K$4+L49*$L$4+M49*$M$4+N49*$N$4+O49*$O$4+P49*$P$4+Q49*$Q$4,G49*$G$5+H49*$H$5+I49*$I$5+J49*$J$5+K49*$K$5+L49*$L$5+M49*$M$5+N49*$N$5+O49*$O$5+P49*$P$5+Q49*$Q$5)</f>
        <v>0</v>
      </c>
      <c r="T49" s="229">
        <f>IFERROR(VLOOKUP(RIGHT($A49,4)*1,'Autumn term 2025'!$U$6:$X$16,3,FALSE),0)</f>
        <v>0</v>
      </c>
      <c r="U49" s="230">
        <f>IFERROR(VLOOKUP(RIGHT($A49,4)*1,'Autumn term 2025'!$U$6:$X$16,2,FALSE),0)</f>
        <v>0</v>
      </c>
      <c r="V49" s="231">
        <f>IF(VLOOKUP($A49,Data!$A$3:$I$81,9,FALSE)="Pri",T49*$T$2+U49*$U$2,T49*$T$3+U49*$U$3)</f>
        <v>0</v>
      </c>
      <c r="W49" s="232">
        <f>IF(VLOOKUP($A49,Data!$A$3:$I$81,9,FALSE)="Pri",T49*$T$4+U49*$U$4,T49*$T$5+U49*$U$5)</f>
        <v>0</v>
      </c>
      <c r="X49" s="235">
        <f t="shared" si="21"/>
        <v>0</v>
      </c>
      <c r="Y49" s="399">
        <f t="shared" si="22"/>
        <v>28000</v>
      </c>
      <c r="Z49" s="234">
        <f t="shared" si="23"/>
        <v>28000</v>
      </c>
      <c r="AA49" s="46">
        <f t="shared" si="24"/>
        <v>28000</v>
      </c>
      <c r="AB49" s="400">
        <f t="shared" si="25"/>
        <v>0</v>
      </c>
      <c r="AC49" s="21">
        <f t="shared" si="26"/>
        <v>0</v>
      </c>
      <c r="AD49" s="11"/>
      <c r="AE49" s="11"/>
      <c r="AF49" s="146">
        <f>IFERROR(VLOOKUP(A49,'25-26 MFG'!A:D,3,FALSE),0)</f>
        <v>0</v>
      </c>
      <c r="AG49" s="75">
        <f>IFERROR(VLOOKUP(A49,'25-26 MFG'!A:D,4,FALSE),0)</f>
        <v>0</v>
      </c>
      <c r="AH49" s="224">
        <f t="shared" si="27"/>
        <v>0</v>
      </c>
    </row>
    <row r="50" spans="1:34">
      <c r="A50" s="7">
        <v>8503197</v>
      </c>
      <c r="B50" s="142" t="s">
        <v>216</v>
      </c>
      <c r="C50" s="16">
        <f>IFERROR(VLOOKUP(RIGHT($A50,4)*1,'Autumn term 2025'!$AA$6:$AM$57,12,FALSE),0)</f>
        <v>0</v>
      </c>
      <c r="D50" s="16">
        <f>SUMIF(APN!$A$3:$A$97,(RIGHT($A50,4)*1),APN!$K$3:$K$97)</f>
        <v>3.5</v>
      </c>
      <c r="E50" s="209">
        <f>D50*Values!$J$17</f>
        <v>21000</v>
      </c>
      <c r="F50" s="410">
        <f t="shared" si="20"/>
        <v>21000</v>
      </c>
      <c r="G50" s="402" cm="1">
        <f t="array" ref="G50">IFERROR(INDEX('Autumn term 2025'!$AB$6:$AM$55,_xlfn.XMATCH(RIGHT(MFG!$A50,4)*1,'Autumn term 2025'!$AA$6:$AA$55),_xlfn.XMATCH(MFG!G$7,'Autumn term 2025'!$AB$5:$AM$5)),0)</f>
        <v>0</v>
      </c>
      <c r="H50" s="403" cm="1">
        <f t="array" ref="H50">IFERROR(INDEX('Autumn term 2025'!$AB$6:$AM$55,_xlfn.XMATCH(RIGHT(MFG!$A50,4)*1,'Autumn term 2025'!$AA$6:$AA$55),_xlfn.XMATCH(MFG!H$7,'Autumn term 2025'!$AB$5:$AM$5)),0)</f>
        <v>0</v>
      </c>
      <c r="I50" s="403" cm="1">
        <f t="array" ref="I50">IFERROR(INDEX('Autumn term 2025'!$AB$6:$AM$55,_xlfn.XMATCH(RIGHT(MFG!$A50,4)*1,'Autumn term 2025'!$AA$6:$AA$55),_xlfn.XMATCH(MFG!I$7,'Autumn term 2025'!$AB$5:$AM$5)),0)</f>
        <v>0</v>
      </c>
      <c r="J50" s="403" cm="1">
        <f t="array" ref="J50">IFERROR(INDEX('Autumn term 2025'!$AB$6:$AM$55,_xlfn.XMATCH(RIGHT(MFG!$A50,4)*1,'Autumn term 2025'!$AA$6:$AA$55),_xlfn.XMATCH(MFG!J$7,'Autumn term 2025'!$AB$5:$AM$5)),0)</f>
        <v>0</v>
      </c>
      <c r="K50" s="403" cm="1">
        <f t="array" ref="K50">IFERROR(INDEX('Autumn term 2025'!$AB$6:$AM$55,_xlfn.XMATCH(RIGHT(MFG!$A50,4)*1,'Autumn term 2025'!$AA$6:$AA$55),_xlfn.XMATCH(MFG!K$7,'Autumn term 2025'!$AB$5:$AM$5)),0)</f>
        <v>0</v>
      </c>
      <c r="L50" s="403" cm="1">
        <f t="array" ref="L50">IFERROR(INDEX('Autumn term 2025'!$AB$6:$AM$55,_xlfn.XMATCH(RIGHT(MFG!$A50,4)*1,'Autumn term 2025'!$AA$6:$AA$55),_xlfn.XMATCH(MFG!L$7,'Autumn term 2025'!$AB$5:$AM$5)),0)</f>
        <v>0</v>
      </c>
      <c r="M50" s="403" cm="1">
        <f t="array" ref="M50">IFERROR(INDEX('Autumn term 2025'!$AB$6:$AM$55,_xlfn.XMATCH(RIGHT(MFG!$A50,4)*1,'Autumn term 2025'!$AA$6:$AA$55),_xlfn.XMATCH(MFG!M$7,'Autumn term 2025'!$AB$5:$AM$5)),0)</f>
        <v>0</v>
      </c>
      <c r="N50" s="403" cm="1">
        <f t="array" ref="N50">IFERROR(INDEX('Autumn term 2025'!$AB$6:$AM$55,_xlfn.XMATCH(RIGHT(MFG!$A50,4)*1,'Autumn term 2025'!$AA$6:$AA$55),_xlfn.XMATCH(MFG!N$7,'Autumn term 2025'!$AB$5:$AM$5)),0)</f>
        <v>0</v>
      </c>
      <c r="O50" s="403" cm="1">
        <f t="array" ref="O50">IFERROR(INDEX('Autumn term 2025'!$AB$6:$AM$55,_xlfn.XMATCH(RIGHT(MFG!$A50,4)*1,'Autumn term 2025'!$AA$6:$AA$55),_xlfn.XMATCH(MFG!O$7,'Autumn term 2025'!$AB$5:$AM$5)),0)</f>
        <v>0</v>
      </c>
      <c r="P50" s="403" cm="1">
        <f t="array" ref="P50">IFERROR(INDEX('Autumn term 2025'!$AB$6:$AM$55,_xlfn.XMATCH(RIGHT(MFG!$A50,4)*1,'Autumn term 2025'!$AA$6:$AA$55),_xlfn.XMATCH(MFG!P$7,'Autumn term 2025'!$AB$5:$AM$5)),0)</f>
        <v>0</v>
      </c>
      <c r="Q50" s="404" cm="1">
        <f t="array" ref="Q50">IFERROR(INDEX('Autumn term 2025'!$AB$6:$AM$55,_xlfn.XMATCH(RIGHT(MFG!$A50,4)*1,'Autumn term 2025'!$AA$6:$AA$55),_xlfn.XMATCH(MFG!Q$7,'Autumn term 2025'!$AB$5:$AM$5)),0)</f>
        <v>0</v>
      </c>
      <c r="R50" s="412">
        <f>IF(VLOOKUP($A50,Data!$A$4:$I$81,9,FALSE)="PRI",G50*$G$2+H50*$H$2+I50*$I$2+J50*$J$2+K50*$K$2+L50*$L$2+M50*$M$2+N50*$N$2+O50*$O$2+P50*$P$2+Q50*$Q$2,G50*$G$3+H50*$H$3+I50*$I$3+J50*$J$3+K50*$K$3+L50*$L$3+M50*$M$3+N50*$N$3+O50*$O$3+P50*$P$3+Q50*$Q$3)</f>
        <v>0</v>
      </c>
      <c r="S50" s="145">
        <f>IF(VLOOKUP($A50,Data!$A$4:$I$81,9,FALSE)="PRI",G50*$G$4+H50*$H$4+I50*$I$4+J50*$J$4+K50*$K$4+L50*$L$4+M50*$M$4+N50*$N$4+O50*$O$4+P50*$P$4+Q50*$Q$4,G50*$G$5+H50*$H$5+I50*$I$5+J50*$J$5+K50*$K$5+L50*$L$5+M50*$M$5+N50*$N$5+O50*$O$5+P50*$P$5+Q50*$Q$5)</f>
        <v>0</v>
      </c>
      <c r="T50" s="229">
        <f>IFERROR(VLOOKUP(RIGHT($A50,4)*1,'Autumn term 2025'!$U$6:$X$16,3,FALSE),0)</f>
        <v>0</v>
      </c>
      <c r="U50" s="230">
        <f>IFERROR(VLOOKUP(RIGHT($A50,4)*1,'Autumn term 2025'!$U$6:$X$16,2,FALSE),0)</f>
        <v>0</v>
      </c>
      <c r="V50" s="231">
        <f>IF(VLOOKUP($A50,Data!$A$3:$I$81,9,FALSE)="Pri",T50*$T$2+U50*$U$2,T50*$T$3+U50*$U$3)</f>
        <v>0</v>
      </c>
      <c r="W50" s="232">
        <f>IF(VLOOKUP($A50,Data!$A$3:$I$81,9,FALSE)="Pri",T50*$T$4+U50*$U$4,T50*$T$5+U50*$U$5)</f>
        <v>0</v>
      </c>
      <c r="X50" s="235">
        <f t="shared" si="21"/>
        <v>0</v>
      </c>
      <c r="Y50" s="399">
        <f t="shared" si="22"/>
        <v>21000</v>
      </c>
      <c r="Z50" s="234">
        <f t="shared" si="23"/>
        <v>21000</v>
      </c>
      <c r="AA50" s="46">
        <f t="shared" si="24"/>
        <v>21000</v>
      </c>
      <c r="AB50" s="400">
        <f t="shared" si="25"/>
        <v>0</v>
      </c>
      <c r="AC50" s="21">
        <f t="shared" si="26"/>
        <v>0</v>
      </c>
      <c r="AD50" s="11"/>
      <c r="AE50" s="11"/>
      <c r="AF50" s="146">
        <f>IFERROR(VLOOKUP(A50,'25-26 MFG'!A:D,3,FALSE),0)</f>
        <v>0</v>
      </c>
      <c r="AG50" s="75">
        <f>IFERROR(VLOOKUP(A50,'25-26 MFG'!A:D,4,FALSE),0)</f>
        <v>0</v>
      </c>
      <c r="AH50" s="224">
        <f t="shared" si="27"/>
        <v>0</v>
      </c>
    </row>
    <row r="51" spans="1:34">
      <c r="A51" s="7">
        <v>8503404</v>
      </c>
      <c r="B51" s="142" t="s">
        <v>166</v>
      </c>
      <c r="C51" s="16">
        <f>IFERROR(VLOOKUP(RIGHT($A51,4)*1,'Autumn term 2025'!$AA$6:$AM$57,12,FALSE),0)</f>
        <v>5</v>
      </c>
      <c r="D51" s="16">
        <f>SUMIF(APN!$A$3:$A$97,(RIGHT($A51,4)*1),APN!$K$3:$K$97)</f>
        <v>6</v>
      </c>
      <c r="E51" s="209">
        <f>D51*Values!$J$17</f>
        <v>36000</v>
      </c>
      <c r="F51" s="410">
        <f t="shared" si="20"/>
        <v>36000</v>
      </c>
      <c r="G51" s="402" cm="1">
        <f t="array" ref="G51">IFERROR(INDEX('Autumn term 2025'!$AB$6:$AM$55,_xlfn.XMATCH(RIGHT(MFG!$A51,4)*1,'Autumn term 2025'!$AA$6:$AA$55),_xlfn.XMATCH(MFG!G$7,'Autumn term 2025'!$AB$5:$AM$5)),0)</f>
        <v>0</v>
      </c>
      <c r="H51" s="403" cm="1">
        <f t="array" ref="H51">IFERROR(INDEX('Autumn term 2025'!$AB$6:$AM$55,_xlfn.XMATCH(RIGHT(MFG!$A51,4)*1,'Autumn term 2025'!$AA$6:$AA$55),_xlfn.XMATCH(MFG!H$7,'Autumn term 2025'!$AB$5:$AM$5)),0)</f>
        <v>5</v>
      </c>
      <c r="I51" s="403" cm="1">
        <f t="array" ref="I51">IFERROR(INDEX('Autumn term 2025'!$AB$6:$AM$55,_xlfn.XMATCH(RIGHT(MFG!$A51,4)*1,'Autumn term 2025'!$AA$6:$AA$55),_xlfn.XMATCH(MFG!I$7,'Autumn term 2025'!$AB$5:$AM$5)),0)</f>
        <v>0</v>
      </c>
      <c r="J51" s="403" cm="1">
        <f t="array" ref="J51">IFERROR(INDEX('Autumn term 2025'!$AB$6:$AM$55,_xlfn.XMATCH(RIGHT(MFG!$A51,4)*1,'Autumn term 2025'!$AA$6:$AA$55),_xlfn.XMATCH(MFG!J$7,'Autumn term 2025'!$AB$5:$AM$5)),0)</f>
        <v>0</v>
      </c>
      <c r="K51" s="403" cm="1">
        <f t="array" ref="K51">IFERROR(INDEX('Autumn term 2025'!$AB$6:$AM$55,_xlfn.XMATCH(RIGHT(MFG!$A51,4)*1,'Autumn term 2025'!$AA$6:$AA$55),_xlfn.XMATCH(MFG!K$7,'Autumn term 2025'!$AB$5:$AM$5)),0)</f>
        <v>0</v>
      </c>
      <c r="L51" s="403" cm="1">
        <f t="array" ref="L51">IFERROR(INDEX('Autumn term 2025'!$AB$6:$AM$55,_xlfn.XMATCH(RIGHT(MFG!$A51,4)*1,'Autumn term 2025'!$AA$6:$AA$55),_xlfn.XMATCH(MFG!L$7,'Autumn term 2025'!$AB$5:$AM$5)),0)</f>
        <v>0</v>
      </c>
      <c r="M51" s="403" cm="1">
        <f t="array" ref="M51">IFERROR(INDEX('Autumn term 2025'!$AB$6:$AM$55,_xlfn.XMATCH(RIGHT(MFG!$A51,4)*1,'Autumn term 2025'!$AA$6:$AA$55),_xlfn.XMATCH(MFG!M$7,'Autumn term 2025'!$AB$5:$AM$5)),0)</f>
        <v>0</v>
      </c>
      <c r="N51" s="403" cm="1">
        <f t="array" ref="N51">IFERROR(INDEX('Autumn term 2025'!$AB$6:$AM$55,_xlfn.XMATCH(RIGHT(MFG!$A51,4)*1,'Autumn term 2025'!$AA$6:$AA$55),_xlfn.XMATCH(MFG!N$7,'Autumn term 2025'!$AB$5:$AM$5)),0)</f>
        <v>0</v>
      </c>
      <c r="O51" s="403" cm="1">
        <f t="array" ref="O51">IFERROR(INDEX('Autumn term 2025'!$AB$6:$AM$55,_xlfn.XMATCH(RIGHT(MFG!$A51,4)*1,'Autumn term 2025'!$AA$6:$AA$55),_xlfn.XMATCH(MFG!O$7,'Autumn term 2025'!$AB$5:$AM$5)),0)</f>
        <v>0</v>
      </c>
      <c r="P51" s="403" cm="1">
        <f t="array" ref="P51">IFERROR(INDEX('Autumn term 2025'!$AB$6:$AM$55,_xlfn.XMATCH(RIGHT(MFG!$A51,4)*1,'Autumn term 2025'!$AA$6:$AA$55),_xlfn.XMATCH(MFG!P$7,'Autumn term 2025'!$AB$5:$AM$5)),0)</f>
        <v>0</v>
      </c>
      <c r="Q51" s="404" cm="1">
        <f t="array" ref="Q51">IFERROR(INDEX('Autumn term 2025'!$AB$6:$AM$55,_xlfn.XMATCH(RIGHT(MFG!$A51,4)*1,'Autumn term 2025'!$AA$6:$AA$55),_xlfn.XMATCH(MFG!Q$7,'Autumn term 2025'!$AB$5:$AM$5)),0)</f>
        <v>0</v>
      </c>
      <c r="R51" s="412">
        <f>IF(VLOOKUP($A51,Data!$A$4:$I$81,9,FALSE)="PRI",G51*$G$2+H51*$H$2+I51*$I$2+J51*$J$2+K51*$K$2+L51*$L$2+M51*$M$2+N51*$N$2+O51*$O$2+P51*$P$2+Q51*$Q$2,G51*$G$3+H51*$H$3+I51*$I$3+J51*$J$3+K51*$K$3+L51*$L$3+M51*$M$3+N51*$N$3+O51*$O$3+P51*$P$3+Q51*$Q$3)</f>
        <v>41990</v>
      </c>
      <c r="S51" s="145">
        <f>IF(VLOOKUP($A51,Data!$A$4:$I$81,9,FALSE)="PRI",G51*$G$4+H51*$H$4+I51*$I$4+J51*$J$4+K51*$K$4+L51*$L$4+M51*$M$4+N51*$N$4+O51*$O$4+P51*$P$4+Q51*$Q$4,G51*$G$5+H51*$H$5+I51*$I$5+J51*$J$5+K51*$K$5+L51*$L$5+M51*$M$5+N51*$N$5+O51*$O$5+P51*$P$5+Q51*$Q$5)</f>
        <v>43505</v>
      </c>
      <c r="T51" s="229">
        <f>IFERROR(VLOOKUP(RIGHT($A51,4)*1,'Autumn term 2025'!$U$6:$X$16,3,FALSE),0)</f>
        <v>0</v>
      </c>
      <c r="U51" s="230">
        <f>IFERROR(VLOOKUP(RIGHT($A51,4)*1,'Autumn term 2025'!$U$6:$X$16,2,FALSE),0)</f>
        <v>4</v>
      </c>
      <c r="V51" s="231">
        <f>IF(VLOOKUP($A51,Data!$A$3:$I$81,9,FALSE)="Pri",T51*$T$2+U51*$U$2,T51*$T$3+U51*$U$3)</f>
        <v>33276</v>
      </c>
      <c r="W51" s="232">
        <f>IF(VLOOKUP($A51,Data!$A$3:$I$81,9,FALSE)="Pri",T51*$T$4+U51*$U$4,T51*$T$5+U51*$U$5)</f>
        <v>33976</v>
      </c>
      <c r="X51" s="235">
        <f t="shared" si="21"/>
        <v>0</v>
      </c>
      <c r="Y51" s="399">
        <f t="shared" si="22"/>
        <v>111266</v>
      </c>
      <c r="Z51" s="234">
        <f t="shared" si="23"/>
        <v>111266</v>
      </c>
      <c r="AA51" s="46">
        <f t="shared" si="24"/>
        <v>113481</v>
      </c>
      <c r="AB51" s="400">
        <f t="shared" si="25"/>
        <v>0</v>
      </c>
      <c r="AC51" s="21">
        <f t="shared" si="26"/>
        <v>0</v>
      </c>
      <c r="AD51" s="11"/>
      <c r="AE51" s="11"/>
      <c r="AF51" s="146">
        <f>IFERROR(VLOOKUP(A51,'25-26 MFG'!A:D,3,FALSE),0)</f>
        <v>0</v>
      </c>
      <c r="AG51" s="75">
        <f>IFERROR(VLOOKUP(A51,'25-26 MFG'!A:D,4,FALSE),0)</f>
        <v>0</v>
      </c>
      <c r="AH51" s="224">
        <f t="shared" si="27"/>
        <v>0</v>
      </c>
    </row>
    <row r="52" spans="1:34">
      <c r="A52" s="7">
        <v>8503665</v>
      </c>
      <c r="B52" s="142" t="s">
        <v>26</v>
      </c>
      <c r="C52" s="16">
        <f>IFERROR(VLOOKUP(RIGHT($A52,4)*1,'Autumn term 2025'!$AA$6:$AM$57,12,FALSE),0)</f>
        <v>7</v>
      </c>
      <c r="D52" s="16">
        <f>SUMIF(APN!$A$3:$A$97,(RIGHT($A52,4)*1),APN!$K$3:$K$97)</f>
        <v>7</v>
      </c>
      <c r="E52" s="209">
        <f>D52*Values!$J$17</f>
        <v>42000</v>
      </c>
      <c r="F52" s="410">
        <f t="shared" si="20"/>
        <v>42000</v>
      </c>
      <c r="G52" s="402" cm="1">
        <f t="array" ref="G52">IFERROR(INDEX('Autumn term 2025'!$AB$6:$AM$55,_xlfn.XMATCH(RIGHT(MFG!$A52,4)*1,'Autumn term 2025'!$AA$6:$AA$55),_xlfn.XMATCH(MFG!G$7,'Autumn term 2025'!$AB$5:$AM$5)),0)</f>
        <v>0</v>
      </c>
      <c r="H52" s="403" cm="1">
        <f t="array" ref="H52">IFERROR(INDEX('Autumn term 2025'!$AB$6:$AM$55,_xlfn.XMATCH(RIGHT(MFG!$A52,4)*1,'Autumn term 2025'!$AA$6:$AA$55),_xlfn.XMATCH(MFG!H$7,'Autumn term 2025'!$AB$5:$AM$5)),0)</f>
        <v>0</v>
      </c>
      <c r="I52" s="403" cm="1">
        <f t="array" ref="I52">IFERROR(INDEX('Autumn term 2025'!$AB$6:$AM$55,_xlfn.XMATCH(RIGHT(MFG!$A52,4)*1,'Autumn term 2025'!$AA$6:$AA$55),_xlfn.XMATCH(MFG!I$7,'Autumn term 2025'!$AB$5:$AM$5)),0)</f>
        <v>0</v>
      </c>
      <c r="J52" s="403" cm="1">
        <f t="array" ref="J52">IFERROR(INDEX('Autumn term 2025'!$AB$6:$AM$55,_xlfn.XMATCH(RIGHT(MFG!$A52,4)*1,'Autumn term 2025'!$AA$6:$AA$55),_xlfn.XMATCH(MFG!J$7,'Autumn term 2025'!$AB$5:$AM$5)),0)</f>
        <v>0</v>
      </c>
      <c r="K52" s="403" cm="1">
        <f t="array" ref="K52">IFERROR(INDEX('Autumn term 2025'!$AB$6:$AM$55,_xlfn.XMATCH(RIGHT(MFG!$A52,4)*1,'Autumn term 2025'!$AA$6:$AA$55),_xlfn.XMATCH(MFG!K$7,'Autumn term 2025'!$AB$5:$AM$5)),0)</f>
        <v>0</v>
      </c>
      <c r="L52" s="403" cm="1">
        <f t="array" ref="L52">IFERROR(INDEX('Autumn term 2025'!$AB$6:$AM$55,_xlfn.XMATCH(RIGHT(MFG!$A52,4)*1,'Autumn term 2025'!$AA$6:$AA$55),_xlfn.XMATCH(MFG!L$7,'Autumn term 2025'!$AB$5:$AM$5)),0)</f>
        <v>0</v>
      </c>
      <c r="M52" s="403" cm="1">
        <f t="array" ref="M52">IFERROR(INDEX('Autumn term 2025'!$AB$6:$AM$55,_xlfn.XMATCH(RIGHT(MFG!$A52,4)*1,'Autumn term 2025'!$AA$6:$AA$55),_xlfn.XMATCH(MFG!M$7,'Autumn term 2025'!$AB$5:$AM$5)),0)</f>
        <v>7</v>
      </c>
      <c r="N52" s="403" cm="1">
        <f t="array" ref="N52">IFERROR(INDEX('Autumn term 2025'!$AB$6:$AM$55,_xlfn.XMATCH(RIGHT(MFG!$A52,4)*1,'Autumn term 2025'!$AA$6:$AA$55),_xlfn.XMATCH(MFG!N$7,'Autumn term 2025'!$AB$5:$AM$5)),0)</f>
        <v>0</v>
      </c>
      <c r="O52" s="403" cm="1">
        <f t="array" ref="O52">IFERROR(INDEX('Autumn term 2025'!$AB$6:$AM$55,_xlfn.XMATCH(RIGHT(MFG!$A52,4)*1,'Autumn term 2025'!$AA$6:$AA$55),_xlfn.XMATCH(MFG!O$7,'Autumn term 2025'!$AB$5:$AM$5)),0)</f>
        <v>0</v>
      </c>
      <c r="P52" s="403" cm="1">
        <f t="array" ref="P52">IFERROR(INDEX('Autumn term 2025'!$AB$6:$AM$55,_xlfn.XMATCH(RIGHT(MFG!$A52,4)*1,'Autumn term 2025'!$AA$6:$AA$55),_xlfn.XMATCH(MFG!P$7,'Autumn term 2025'!$AB$5:$AM$5)),0)</f>
        <v>0</v>
      </c>
      <c r="Q52" s="404" cm="1">
        <f t="array" ref="Q52">IFERROR(INDEX('Autumn term 2025'!$AB$6:$AM$55,_xlfn.XMATCH(RIGHT(MFG!$A52,4)*1,'Autumn term 2025'!$AA$6:$AA$55),_xlfn.XMATCH(MFG!Q$7,'Autumn term 2025'!$AB$5:$AM$5)),0)</f>
        <v>0</v>
      </c>
      <c r="R52" s="412">
        <f>IF(VLOOKUP($A52,Data!$A$4:$I$81,9,FALSE)="PRI",G52*$G$2+H52*$H$2+I52*$I$2+J52*$J$2+K52*$K$2+L52*$L$2+M52*$M$2+N52*$N$2+O52*$O$2+P52*$P$2+Q52*$Q$2,G52*$G$3+H52*$H$3+I52*$I$3+J52*$J$3+K52*$K$3+L52*$L$3+M52*$M$3+N52*$N$3+O52*$O$3+P52*$P$3+Q52*$Q$3)</f>
        <v>87150</v>
      </c>
      <c r="S52" s="145">
        <f>IF(VLOOKUP($A52,Data!$A$4:$I$81,9,FALSE)="PRI",G52*$G$4+H52*$H$4+I52*$I$4+J52*$J$4+K52*$K$4+L52*$L$4+M52*$M$4+N52*$N$4+O52*$O$4+P52*$P$4+Q52*$Q$4,G52*$G$5+H52*$H$5+I52*$I$5+J52*$J$5+K52*$K$5+L52*$L$5+M52*$M$5+N52*$N$5+O52*$O$5+P52*$P$5+Q52*$Q$5)</f>
        <v>89866</v>
      </c>
      <c r="T52" s="229">
        <f>IFERROR(VLOOKUP(RIGHT($A52,4)*1,'Autumn term 2025'!$U$6:$X$16,3,FALSE),0)</f>
        <v>0</v>
      </c>
      <c r="U52" s="230">
        <f>IFERROR(VLOOKUP(RIGHT($A52,4)*1,'Autumn term 2025'!$U$6:$X$16,2,FALSE),0)</f>
        <v>0</v>
      </c>
      <c r="V52" s="231">
        <f>IF(VLOOKUP($A52,Data!$A$3:$I$81,9,FALSE)="Pri",T52*$T$2+U52*$U$2,T52*$T$3+U52*$U$3)</f>
        <v>0</v>
      </c>
      <c r="W52" s="232">
        <f>IF(VLOOKUP($A52,Data!$A$3:$I$81,9,FALSE)="Pri",T52*$T$4+U52*$U$4,T52*$T$5+U52*$U$5)</f>
        <v>0</v>
      </c>
      <c r="X52" s="235">
        <f t="shared" si="21"/>
        <v>0</v>
      </c>
      <c r="Y52" s="399">
        <f t="shared" si="22"/>
        <v>129150</v>
      </c>
      <c r="Z52" s="234">
        <f t="shared" si="23"/>
        <v>129150</v>
      </c>
      <c r="AA52" s="46">
        <f t="shared" si="24"/>
        <v>131866</v>
      </c>
      <c r="AB52" s="400">
        <f t="shared" si="25"/>
        <v>0</v>
      </c>
      <c r="AC52" s="21">
        <f t="shared" si="26"/>
        <v>0</v>
      </c>
      <c r="AD52" s="11"/>
      <c r="AE52" s="11"/>
      <c r="AF52" s="146">
        <f>IFERROR(VLOOKUP(A52,'25-26 MFG'!A:D,3,FALSE),0)</f>
        <v>0</v>
      </c>
      <c r="AG52" s="75">
        <f>IFERROR(VLOOKUP(A52,'25-26 MFG'!A:D,4,FALSE),0)</f>
        <v>0</v>
      </c>
      <c r="AH52" s="224">
        <f t="shared" si="27"/>
        <v>0</v>
      </c>
    </row>
    <row r="53" spans="1:34">
      <c r="A53" s="7">
        <v>8503667</v>
      </c>
      <c r="B53" s="142" t="s">
        <v>167</v>
      </c>
      <c r="C53" s="16">
        <f>IFERROR(VLOOKUP(RIGHT($A53,4)*1,'Autumn term 2025'!$AA$6:$AM$57,12,FALSE),0)</f>
        <v>0</v>
      </c>
      <c r="D53" s="16">
        <f>SUMIF(APN!$A$3:$A$97,(RIGHT($A53,4)*1),APN!$K$3:$K$97)</f>
        <v>0</v>
      </c>
      <c r="E53" s="209">
        <f>D53*Values!$J$17</f>
        <v>0</v>
      </c>
      <c r="F53" s="410">
        <f t="shared" si="20"/>
        <v>0</v>
      </c>
      <c r="G53" s="402" cm="1">
        <f t="array" ref="G53">IFERROR(INDEX('Autumn term 2025'!$AB$6:$AM$55,_xlfn.XMATCH(RIGHT(MFG!$A53,4)*1,'Autumn term 2025'!$AA$6:$AA$55),_xlfn.XMATCH(MFG!G$7,'Autumn term 2025'!$AB$5:$AM$5)),0)</f>
        <v>0</v>
      </c>
      <c r="H53" s="403" cm="1">
        <f t="array" ref="H53">IFERROR(INDEX('Autumn term 2025'!$AB$6:$AM$55,_xlfn.XMATCH(RIGHT(MFG!$A53,4)*1,'Autumn term 2025'!$AA$6:$AA$55),_xlfn.XMATCH(MFG!H$7,'Autumn term 2025'!$AB$5:$AM$5)),0)</f>
        <v>0</v>
      </c>
      <c r="I53" s="403" cm="1">
        <f t="array" ref="I53">IFERROR(INDEX('Autumn term 2025'!$AB$6:$AM$55,_xlfn.XMATCH(RIGHT(MFG!$A53,4)*1,'Autumn term 2025'!$AA$6:$AA$55),_xlfn.XMATCH(MFG!I$7,'Autumn term 2025'!$AB$5:$AM$5)),0)</f>
        <v>0</v>
      </c>
      <c r="J53" s="403" cm="1">
        <f t="array" ref="J53">IFERROR(INDEX('Autumn term 2025'!$AB$6:$AM$55,_xlfn.XMATCH(RIGHT(MFG!$A53,4)*1,'Autumn term 2025'!$AA$6:$AA$55),_xlfn.XMATCH(MFG!J$7,'Autumn term 2025'!$AB$5:$AM$5)),0)</f>
        <v>0</v>
      </c>
      <c r="K53" s="403" cm="1">
        <f t="array" ref="K53">IFERROR(INDEX('Autumn term 2025'!$AB$6:$AM$55,_xlfn.XMATCH(RIGHT(MFG!$A53,4)*1,'Autumn term 2025'!$AA$6:$AA$55),_xlfn.XMATCH(MFG!K$7,'Autumn term 2025'!$AB$5:$AM$5)),0)</f>
        <v>0</v>
      </c>
      <c r="L53" s="403" cm="1">
        <f t="array" ref="L53">IFERROR(INDEX('Autumn term 2025'!$AB$6:$AM$55,_xlfn.XMATCH(RIGHT(MFG!$A53,4)*1,'Autumn term 2025'!$AA$6:$AA$55),_xlfn.XMATCH(MFG!L$7,'Autumn term 2025'!$AB$5:$AM$5)),0)</f>
        <v>0</v>
      </c>
      <c r="M53" s="403" cm="1">
        <f t="array" ref="M53">IFERROR(INDEX('Autumn term 2025'!$AB$6:$AM$55,_xlfn.XMATCH(RIGHT(MFG!$A53,4)*1,'Autumn term 2025'!$AA$6:$AA$55),_xlfn.XMATCH(MFG!M$7,'Autumn term 2025'!$AB$5:$AM$5)),0)</f>
        <v>0</v>
      </c>
      <c r="N53" s="403" cm="1">
        <f t="array" ref="N53">IFERROR(INDEX('Autumn term 2025'!$AB$6:$AM$55,_xlfn.XMATCH(RIGHT(MFG!$A53,4)*1,'Autumn term 2025'!$AA$6:$AA$55),_xlfn.XMATCH(MFG!N$7,'Autumn term 2025'!$AB$5:$AM$5)),0)</f>
        <v>0</v>
      </c>
      <c r="O53" s="403" cm="1">
        <f t="array" ref="O53">IFERROR(INDEX('Autumn term 2025'!$AB$6:$AM$55,_xlfn.XMATCH(RIGHT(MFG!$A53,4)*1,'Autumn term 2025'!$AA$6:$AA$55),_xlfn.XMATCH(MFG!O$7,'Autumn term 2025'!$AB$5:$AM$5)),0)</f>
        <v>0</v>
      </c>
      <c r="P53" s="403" cm="1">
        <f t="array" ref="P53">IFERROR(INDEX('Autumn term 2025'!$AB$6:$AM$55,_xlfn.XMATCH(RIGHT(MFG!$A53,4)*1,'Autumn term 2025'!$AA$6:$AA$55),_xlfn.XMATCH(MFG!P$7,'Autumn term 2025'!$AB$5:$AM$5)),0)</f>
        <v>0</v>
      </c>
      <c r="Q53" s="404" cm="1">
        <f t="array" ref="Q53">IFERROR(INDEX('Autumn term 2025'!$AB$6:$AM$55,_xlfn.XMATCH(RIGHT(MFG!$A53,4)*1,'Autumn term 2025'!$AA$6:$AA$55),_xlfn.XMATCH(MFG!Q$7,'Autumn term 2025'!$AB$5:$AM$5)),0)</f>
        <v>0</v>
      </c>
      <c r="R53" s="412">
        <f>IF(VLOOKUP($A53,Data!$A$4:$I$81,9,FALSE)="PRI",G53*$G$2+H53*$H$2+I53*$I$2+J53*$J$2+K53*$K$2+L53*$L$2+M53*$M$2+N53*$N$2+O53*$O$2+P53*$P$2+Q53*$Q$2,G53*$G$3+H53*$H$3+I53*$I$3+J53*$J$3+K53*$K$3+L53*$L$3+M53*$M$3+N53*$N$3+O53*$O$3+P53*$P$3+Q53*$Q$3)</f>
        <v>0</v>
      </c>
      <c r="S53" s="145">
        <f>IF(VLOOKUP($A53,Data!$A$4:$I$81,9,FALSE)="PRI",G53*$G$4+H53*$H$4+I53*$I$4+J53*$J$4+K53*$K$4+L53*$L$4+M53*$M$4+N53*$N$4+O53*$O$4+P53*$P$4+Q53*$Q$4,G53*$G$5+H53*$H$5+I53*$I$5+J53*$J$5+K53*$K$5+L53*$L$5+M53*$M$5+N53*$N$5+O53*$O$5+P53*$P$5+Q53*$Q$5)</f>
        <v>0</v>
      </c>
      <c r="T53" s="229">
        <f>IFERROR(VLOOKUP(RIGHT($A53,4)*1,'Autumn term 2025'!$U$6:$X$16,3,FALSE),0)</f>
        <v>0</v>
      </c>
      <c r="U53" s="230">
        <f>IFERROR(VLOOKUP(RIGHT($A53,4)*1,'Autumn term 2025'!$U$6:$X$16,2,FALSE),0)</f>
        <v>0</v>
      </c>
      <c r="V53" s="231">
        <f>IF(VLOOKUP($A53,Data!$A$3:$I$81,9,FALSE)="Pri",T53*$T$2+U53*$U$2,T53*$T$3+U53*$U$3)</f>
        <v>0</v>
      </c>
      <c r="W53" s="232">
        <f>IF(VLOOKUP($A53,Data!$A$3:$I$81,9,FALSE)="Pri",T53*$T$4+U53*$U$4,T53*$T$5+U53*$U$5)</f>
        <v>0</v>
      </c>
      <c r="X53" s="235">
        <f t="shared" si="21"/>
        <v>0</v>
      </c>
      <c r="Y53" s="399">
        <f t="shared" si="22"/>
        <v>0</v>
      </c>
      <c r="Z53" s="234">
        <f t="shared" si="23"/>
        <v>0</v>
      </c>
      <c r="AA53" s="46">
        <f t="shared" si="24"/>
        <v>0</v>
      </c>
      <c r="AB53" s="400">
        <f t="shared" si="25"/>
        <v>0</v>
      </c>
      <c r="AC53" s="21">
        <f t="shared" si="26"/>
        <v>0</v>
      </c>
      <c r="AD53" s="11"/>
      <c r="AE53" s="11"/>
      <c r="AF53" s="146">
        <f>IFERROR(VLOOKUP(A53,'25-26 MFG'!A:D,3,FALSE),0)</f>
        <v>0</v>
      </c>
      <c r="AG53" s="75">
        <f>IFERROR(VLOOKUP(A53,'25-26 MFG'!A:D,4,FALSE),0)</f>
        <v>0</v>
      </c>
      <c r="AH53" s="224">
        <f t="shared" si="27"/>
        <v>0</v>
      </c>
    </row>
    <row r="54" spans="1:34">
      <c r="A54" s="8">
        <v>8504000</v>
      </c>
      <c r="B54" s="142" t="s">
        <v>27</v>
      </c>
      <c r="C54" s="16">
        <f>IFERROR(VLOOKUP(RIGHT($A54,4)*1,'Autumn term 2025'!$AA$6:$AM$57,12,FALSE),0)</f>
        <v>1</v>
      </c>
      <c r="D54" s="16">
        <f>SUMIF(APN!$A$3:$A$97,(RIGHT($A54,4)*1),APN!$K$3:$K$97)</f>
        <v>7.0833333333333339</v>
      </c>
      <c r="E54" s="209">
        <f>D54*Values!$J$17</f>
        <v>42500</v>
      </c>
      <c r="F54" s="410">
        <f t="shared" si="20"/>
        <v>42500</v>
      </c>
      <c r="G54" s="402" cm="1">
        <f t="array" ref="G54">IFERROR(INDEX('Autumn term 2025'!$AB$6:$AM$55,_xlfn.XMATCH(RIGHT(MFG!$A54,4)*1,'Autumn term 2025'!$AA$6:$AA$55),_xlfn.XMATCH(MFG!G$7,'Autumn term 2025'!$AB$5:$AM$5)),0)</f>
        <v>0</v>
      </c>
      <c r="H54" s="403" cm="1">
        <f t="array" ref="H54">IFERROR(INDEX('Autumn term 2025'!$AB$6:$AM$55,_xlfn.XMATCH(RIGHT(MFG!$A54,4)*1,'Autumn term 2025'!$AA$6:$AA$55),_xlfn.XMATCH(MFG!H$7,'Autumn term 2025'!$AB$5:$AM$5)),0)</f>
        <v>0</v>
      </c>
      <c r="I54" s="403" cm="1">
        <f t="array" ref="I54">IFERROR(INDEX('Autumn term 2025'!$AB$6:$AM$55,_xlfn.XMATCH(RIGHT(MFG!$A54,4)*1,'Autumn term 2025'!$AA$6:$AA$55),_xlfn.XMATCH(MFG!I$7,'Autumn term 2025'!$AB$5:$AM$5)),0)</f>
        <v>0</v>
      </c>
      <c r="J54" s="403" cm="1">
        <f t="array" ref="J54">IFERROR(INDEX('Autumn term 2025'!$AB$6:$AM$55,_xlfn.XMATCH(RIGHT(MFG!$A54,4)*1,'Autumn term 2025'!$AA$6:$AA$55),_xlfn.XMATCH(MFG!J$7,'Autumn term 2025'!$AB$5:$AM$5)),0)</f>
        <v>0</v>
      </c>
      <c r="K54" s="403" cm="1">
        <f t="array" ref="K54">IFERROR(INDEX('Autumn term 2025'!$AB$6:$AM$55,_xlfn.XMATCH(RIGHT(MFG!$A54,4)*1,'Autumn term 2025'!$AA$6:$AA$55),_xlfn.XMATCH(MFG!K$7,'Autumn term 2025'!$AB$5:$AM$5)),0)</f>
        <v>0</v>
      </c>
      <c r="L54" s="403" cm="1">
        <f t="array" ref="L54">IFERROR(INDEX('Autumn term 2025'!$AB$6:$AM$55,_xlfn.XMATCH(RIGHT(MFG!$A54,4)*1,'Autumn term 2025'!$AA$6:$AA$55),_xlfn.XMATCH(MFG!L$7,'Autumn term 2025'!$AB$5:$AM$5)),0)</f>
        <v>0</v>
      </c>
      <c r="M54" s="403" cm="1">
        <f t="array" ref="M54">IFERROR(INDEX('Autumn term 2025'!$AB$6:$AM$55,_xlfn.XMATCH(RIGHT(MFG!$A54,4)*1,'Autumn term 2025'!$AA$6:$AA$55),_xlfn.XMATCH(MFG!M$7,'Autumn term 2025'!$AB$5:$AM$5)),0)</f>
        <v>0</v>
      </c>
      <c r="N54" s="403" cm="1">
        <f t="array" ref="N54">IFERROR(INDEX('Autumn term 2025'!$AB$6:$AM$55,_xlfn.XMATCH(RIGHT(MFG!$A54,4)*1,'Autumn term 2025'!$AA$6:$AA$55),_xlfn.XMATCH(MFG!N$7,'Autumn term 2025'!$AB$5:$AM$5)),0)</f>
        <v>0</v>
      </c>
      <c r="O54" s="403" cm="1">
        <f t="array" ref="O54">IFERROR(INDEX('Autumn term 2025'!$AB$6:$AM$55,_xlfn.XMATCH(RIGHT(MFG!$A54,4)*1,'Autumn term 2025'!$AA$6:$AA$55),_xlfn.XMATCH(MFG!O$7,'Autumn term 2025'!$AB$5:$AM$5)),0)</f>
        <v>0</v>
      </c>
      <c r="P54" s="403" cm="1">
        <f t="array" ref="P54">IFERROR(INDEX('Autumn term 2025'!$AB$6:$AM$55,_xlfn.XMATCH(RIGHT(MFG!$A54,4)*1,'Autumn term 2025'!$AA$6:$AA$55),_xlfn.XMATCH(MFG!P$7,'Autumn term 2025'!$AB$5:$AM$5)),0)</f>
        <v>1</v>
      </c>
      <c r="Q54" s="404" cm="1">
        <f t="array" ref="Q54">IFERROR(INDEX('Autumn term 2025'!$AB$6:$AM$55,_xlfn.XMATCH(RIGHT(MFG!$A54,4)*1,'Autumn term 2025'!$AA$6:$AA$55),_xlfn.XMATCH(MFG!Q$7,'Autumn term 2025'!$AB$5:$AM$5)),0)</f>
        <v>0</v>
      </c>
      <c r="R54" s="412">
        <f>IF(VLOOKUP($A54,Data!$A$4:$I$81,9,FALSE)="PRI",G54*$G$2+H54*$H$2+I54*$I$2+J54*$J$2+K54*$K$2+L54*$L$2+M54*$M$2+N54*$N$2+O54*$O$2+P54*$P$2+Q54*$Q$2,G54*$G$3+H54*$H$3+I54*$I$3+J54*$J$3+K54*$K$3+L54*$L$3+M54*$M$3+N54*$N$3+O54*$O$3+P54*$P$3+Q54*$Q$3)</f>
        <v>1160</v>
      </c>
      <c r="S54" s="145">
        <f>IF(VLOOKUP($A54,Data!$A$4:$I$81,9,FALSE)="PRI",G54*$G$4+H54*$H$4+I54*$I$4+J54*$J$4+K54*$K$4+L54*$L$4+M54*$M$4+N54*$N$4+O54*$O$4+P54*$P$4+Q54*$Q$4,G54*$G$5+H54*$H$5+I54*$I$5+J54*$J$5+K54*$K$5+L54*$L$5+M54*$M$5+N54*$N$5+O54*$O$5+P54*$P$5+Q54*$Q$5)</f>
        <v>1311</v>
      </c>
      <c r="T54" s="229">
        <f>IFERROR(VLOOKUP(RIGHT($A54,4)*1,'Autumn term 2025'!$U$6:$X$16,3,FALSE),0)</f>
        <v>0</v>
      </c>
      <c r="U54" s="230">
        <f>IFERROR(VLOOKUP(RIGHT($A54,4)*1,'Autumn term 2025'!$U$6:$X$16,2,FALSE),0)</f>
        <v>0</v>
      </c>
      <c r="V54" s="231">
        <f>IF(VLOOKUP($A54,Data!$A$3:$I$81,9,FALSE)="Pri",T54*$T$2+U54*$U$2,T54*$T$3+U54*$U$3)</f>
        <v>0</v>
      </c>
      <c r="W54" s="232">
        <f>IF(VLOOKUP($A54,Data!$A$3:$I$81,9,FALSE)="Pri",T54*$T$4+U54*$U$4,T54*$T$5+U54*$U$5)</f>
        <v>0</v>
      </c>
      <c r="X54" s="235">
        <f t="shared" si="21"/>
        <v>0</v>
      </c>
      <c r="Y54" s="399">
        <f t="shared" si="22"/>
        <v>43660</v>
      </c>
      <c r="Z54" s="234">
        <f t="shared" si="23"/>
        <v>43660</v>
      </c>
      <c r="AA54" s="46">
        <f t="shared" si="24"/>
        <v>43811</v>
      </c>
      <c r="AB54" s="400">
        <f t="shared" si="25"/>
        <v>0</v>
      </c>
      <c r="AC54" s="21">
        <f t="shared" si="26"/>
        <v>0</v>
      </c>
      <c r="AD54" s="11"/>
      <c r="AE54" s="11"/>
      <c r="AF54" s="146">
        <f>IFERROR(VLOOKUP(A54,'25-26 MFG'!A:D,3,FALSE),0)</f>
        <v>0</v>
      </c>
      <c r="AG54" s="75">
        <f>IFERROR(VLOOKUP(A54,'25-26 MFG'!A:D,4,FALSE),0)</f>
        <v>0</v>
      </c>
      <c r="AH54" s="224">
        <f t="shared" si="27"/>
        <v>0</v>
      </c>
    </row>
    <row r="55" spans="1:34">
      <c r="A55" s="8">
        <v>8504004</v>
      </c>
      <c r="B55" s="142" t="s">
        <v>168</v>
      </c>
      <c r="C55" s="16">
        <f>IFERROR(VLOOKUP(RIGHT($A55,4)*1,'Autumn term 2025'!$AA$6:$AM$57,12,FALSE),0)</f>
        <v>0</v>
      </c>
      <c r="D55" s="16">
        <f>SUMIF(APN!$A$3:$A$97,(RIGHT($A55,4)*1),APN!$K$3:$K$97)</f>
        <v>0</v>
      </c>
      <c r="E55" s="209">
        <f>D55*Values!$J$17</f>
        <v>0</v>
      </c>
      <c r="F55" s="410">
        <f t="shared" si="20"/>
        <v>0</v>
      </c>
      <c r="G55" s="402" cm="1">
        <f t="array" ref="G55">IFERROR(INDEX('Autumn term 2025'!$AB$6:$AM$55,_xlfn.XMATCH(RIGHT(MFG!$A55,4)*1,'Autumn term 2025'!$AA$6:$AA$55),_xlfn.XMATCH(MFG!G$7,'Autumn term 2025'!$AB$5:$AM$5)),0)</f>
        <v>0</v>
      </c>
      <c r="H55" s="403" cm="1">
        <f t="array" ref="H55">IFERROR(INDEX('Autumn term 2025'!$AB$6:$AM$55,_xlfn.XMATCH(RIGHT(MFG!$A55,4)*1,'Autumn term 2025'!$AA$6:$AA$55),_xlfn.XMATCH(MFG!H$7,'Autumn term 2025'!$AB$5:$AM$5)),0)</f>
        <v>0</v>
      </c>
      <c r="I55" s="403" cm="1">
        <f t="array" ref="I55">IFERROR(INDEX('Autumn term 2025'!$AB$6:$AM$55,_xlfn.XMATCH(RIGHT(MFG!$A55,4)*1,'Autumn term 2025'!$AA$6:$AA$55),_xlfn.XMATCH(MFG!I$7,'Autumn term 2025'!$AB$5:$AM$5)),0)</f>
        <v>0</v>
      </c>
      <c r="J55" s="403" cm="1">
        <f t="array" ref="J55">IFERROR(INDEX('Autumn term 2025'!$AB$6:$AM$55,_xlfn.XMATCH(RIGHT(MFG!$A55,4)*1,'Autumn term 2025'!$AA$6:$AA$55),_xlfn.XMATCH(MFG!J$7,'Autumn term 2025'!$AB$5:$AM$5)),0)</f>
        <v>0</v>
      </c>
      <c r="K55" s="403" cm="1">
        <f t="array" ref="K55">IFERROR(INDEX('Autumn term 2025'!$AB$6:$AM$55,_xlfn.XMATCH(RIGHT(MFG!$A55,4)*1,'Autumn term 2025'!$AA$6:$AA$55),_xlfn.XMATCH(MFG!K$7,'Autumn term 2025'!$AB$5:$AM$5)),0)</f>
        <v>0</v>
      </c>
      <c r="L55" s="403" cm="1">
        <f t="array" ref="L55">IFERROR(INDEX('Autumn term 2025'!$AB$6:$AM$55,_xlfn.XMATCH(RIGHT(MFG!$A55,4)*1,'Autumn term 2025'!$AA$6:$AA$55),_xlfn.XMATCH(MFG!L$7,'Autumn term 2025'!$AB$5:$AM$5)),0)</f>
        <v>0</v>
      </c>
      <c r="M55" s="403" cm="1">
        <f t="array" ref="M55">IFERROR(INDEX('Autumn term 2025'!$AB$6:$AM$55,_xlfn.XMATCH(RIGHT(MFG!$A55,4)*1,'Autumn term 2025'!$AA$6:$AA$55),_xlfn.XMATCH(MFG!M$7,'Autumn term 2025'!$AB$5:$AM$5)),0)</f>
        <v>0</v>
      </c>
      <c r="N55" s="403" cm="1">
        <f t="array" ref="N55">IFERROR(INDEX('Autumn term 2025'!$AB$6:$AM$55,_xlfn.XMATCH(RIGHT(MFG!$A55,4)*1,'Autumn term 2025'!$AA$6:$AA$55),_xlfn.XMATCH(MFG!N$7,'Autumn term 2025'!$AB$5:$AM$5)),0)</f>
        <v>0</v>
      </c>
      <c r="O55" s="403" cm="1">
        <f t="array" ref="O55">IFERROR(INDEX('Autumn term 2025'!$AB$6:$AM$55,_xlfn.XMATCH(RIGHT(MFG!$A55,4)*1,'Autumn term 2025'!$AA$6:$AA$55),_xlfn.XMATCH(MFG!O$7,'Autumn term 2025'!$AB$5:$AM$5)),0)</f>
        <v>0</v>
      </c>
      <c r="P55" s="403" cm="1">
        <f t="array" ref="P55">IFERROR(INDEX('Autumn term 2025'!$AB$6:$AM$55,_xlfn.XMATCH(RIGHT(MFG!$A55,4)*1,'Autumn term 2025'!$AA$6:$AA$55),_xlfn.XMATCH(MFG!P$7,'Autumn term 2025'!$AB$5:$AM$5)),0)</f>
        <v>0</v>
      </c>
      <c r="Q55" s="404" cm="1">
        <f t="array" ref="Q55">IFERROR(INDEX('Autumn term 2025'!$AB$6:$AM$55,_xlfn.XMATCH(RIGHT(MFG!$A55,4)*1,'Autumn term 2025'!$AA$6:$AA$55),_xlfn.XMATCH(MFG!Q$7,'Autumn term 2025'!$AB$5:$AM$5)),0)</f>
        <v>0</v>
      </c>
      <c r="R55" s="412">
        <f>IF(VLOOKUP($A55,Data!$A$4:$I$81,9,FALSE)="PRI",G55*$G$2+H55*$H$2+I55*$I$2+J55*$J$2+K55*$K$2+L55*$L$2+M55*$M$2+N55*$N$2+O55*$O$2+P55*$P$2+Q55*$Q$2,G55*$G$3+H55*$H$3+I55*$I$3+J55*$J$3+K55*$K$3+L55*$L$3+M55*$M$3+N55*$N$3+O55*$O$3+P55*$P$3+Q55*$Q$3)</f>
        <v>0</v>
      </c>
      <c r="S55" s="145">
        <f>IF(VLOOKUP($A55,Data!$A$4:$I$81,9,FALSE)="PRI",G55*$G$4+H55*$H$4+I55*$I$4+J55*$J$4+K55*$K$4+L55*$L$4+M55*$M$4+N55*$N$4+O55*$O$4+P55*$P$4+Q55*$Q$4,G55*$G$5+H55*$H$5+I55*$I$5+J55*$J$5+K55*$K$5+L55*$L$5+M55*$M$5+N55*$N$5+O55*$O$5+P55*$P$5+Q55*$Q$5)</f>
        <v>0</v>
      </c>
      <c r="T55" s="229">
        <f>IFERROR(VLOOKUP(RIGHT($A55,4)*1,'Autumn term 2025'!$U$6:$X$16,3,FALSE),0)</f>
        <v>0</v>
      </c>
      <c r="U55" s="230">
        <f>IFERROR(VLOOKUP(RIGHT($A55,4)*1,'Autumn term 2025'!$U$6:$X$16,2,FALSE),0)</f>
        <v>0</v>
      </c>
      <c r="V55" s="231">
        <f>IF(VLOOKUP($A55,Data!$A$3:$I$81,9,FALSE)="Pri",T55*$T$2+U55*$U$2,T55*$T$3+U55*$U$3)</f>
        <v>0</v>
      </c>
      <c r="W55" s="232">
        <f>IF(VLOOKUP($A55,Data!$A$3:$I$81,9,FALSE)="Pri",T55*$T$4+U55*$U$4,T55*$T$5+U55*$U$5)</f>
        <v>0</v>
      </c>
      <c r="X55" s="235">
        <f t="shared" si="21"/>
        <v>0</v>
      </c>
      <c r="Y55" s="399">
        <f t="shared" si="22"/>
        <v>0</v>
      </c>
      <c r="Z55" s="234">
        <f t="shared" si="23"/>
        <v>0</v>
      </c>
      <c r="AA55" s="46">
        <f t="shared" si="24"/>
        <v>0</v>
      </c>
      <c r="AB55" s="400">
        <f t="shared" si="25"/>
        <v>0</v>
      </c>
      <c r="AC55" s="21">
        <f t="shared" si="26"/>
        <v>0</v>
      </c>
      <c r="AD55" s="11"/>
      <c r="AE55" s="11"/>
      <c r="AF55" s="146">
        <f>IFERROR(VLOOKUP(A55,'25-26 MFG'!A:D,3,FALSE),0)</f>
        <v>0</v>
      </c>
      <c r="AG55" s="75">
        <f>IFERROR(VLOOKUP(A55,'25-26 MFG'!A:D,4,FALSE),0)</f>
        <v>0</v>
      </c>
      <c r="AH55" s="224">
        <f t="shared" si="27"/>
        <v>0</v>
      </c>
    </row>
    <row r="56" spans="1:34">
      <c r="A56" s="8">
        <v>8504005</v>
      </c>
      <c r="B56" s="142" t="s">
        <v>169</v>
      </c>
      <c r="C56" s="16">
        <f>IFERROR(VLOOKUP(RIGHT($A56,4)*1,'Autumn term 2025'!$AA$6:$AM$57,12,FALSE),0)</f>
        <v>0</v>
      </c>
      <c r="D56" s="16">
        <f>SUMIF(APN!$A$3:$A$97,(RIGHT($A56,4)*1),APN!$K$3:$K$97)</f>
        <v>0</v>
      </c>
      <c r="E56" s="209">
        <f>D56*Values!$J$17</f>
        <v>0</v>
      </c>
      <c r="F56" s="410">
        <f t="shared" si="20"/>
        <v>0</v>
      </c>
      <c r="G56" s="402" cm="1">
        <f t="array" ref="G56">IFERROR(INDEX('Autumn term 2025'!$AB$6:$AM$55,_xlfn.XMATCH(RIGHT(MFG!$A56,4)*1,'Autumn term 2025'!$AA$6:$AA$55),_xlfn.XMATCH(MFG!G$7,'Autumn term 2025'!$AB$5:$AM$5)),0)</f>
        <v>0</v>
      </c>
      <c r="H56" s="403" cm="1">
        <f t="array" ref="H56">IFERROR(INDEX('Autumn term 2025'!$AB$6:$AM$55,_xlfn.XMATCH(RIGHT(MFG!$A56,4)*1,'Autumn term 2025'!$AA$6:$AA$55),_xlfn.XMATCH(MFG!H$7,'Autumn term 2025'!$AB$5:$AM$5)),0)</f>
        <v>0</v>
      </c>
      <c r="I56" s="403" cm="1">
        <f t="array" ref="I56">IFERROR(INDEX('Autumn term 2025'!$AB$6:$AM$55,_xlfn.XMATCH(RIGHT(MFG!$A56,4)*1,'Autumn term 2025'!$AA$6:$AA$55),_xlfn.XMATCH(MFG!I$7,'Autumn term 2025'!$AB$5:$AM$5)),0)</f>
        <v>0</v>
      </c>
      <c r="J56" s="403" cm="1">
        <f t="array" ref="J56">IFERROR(INDEX('Autumn term 2025'!$AB$6:$AM$55,_xlfn.XMATCH(RIGHT(MFG!$A56,4)*1,'Autumn term 2025'!$AA$6:$AA$55),_xlfn.XMATCH(MFG!J$7,'Autumn term 2025'!$AB$5:$AM$5)),0)</f>
        <v>0</v>
      </c>
      <c r="K56" s="403" cm="1">
        <f t="array" ref="K56">IFERROR(INDEX('Autumn term 2025'!$AB$6:$AM$55,_xlfn.XMATCH(RIGHT(MFG!$A56,4)*1,'Autumn term 2025'!$AA$6:$AA$55),_xlfn.XMATCH(MFG!K$7,'Autumn term 2025'!$AB$5:$AM$5)),0)</f>
        <v>0</v>
      </c>
      <c r="L56" s="403" cm="1">
        <f t="array" ref="L56">IFERROR(INDEX('Autumn term 2025'!$AB$6:$AM$55,_xlfn.XMATCH(RIGHT(MFG!$A56,4)*1,'Autumn term 2025'!$AA$6:$AA$55),_xlfn.XMATCH(MFG!L$7,'Autumn term 2025'!$AB$5:$AM$5)),0)</f>
        <v>0</v>
      </c>
      <c r="M56" s="403" cm="1">
        <f t="array" ref="M56">IFERROR(INDEX('Autumn term 2025'!$AB$6:$AM$55,_xlfn.XMATCH(RIGHT(MFG!$A56,4)*1,'Autumn term 2025'!$AA$6:$AA$55),_xlfn.XMATCH(MFG!M$7,'Autumn term 2025'!$AB$5:$AM$5)),0)</f>
        <v>0</v>
      </c>
      <c r="N56" s="403" cm="1">
        <f t="array" ref="N56">IFERROR(INDEX('Autumn term 2025'!$AB$6:$AM$55,_xlfn.XMATCH(RIGHT(MFG!$A56,4)*1,'Autumn term 2025'!$AA$6:$AA$55),_xlfn.XMATCH(MFG!N$7,'Autumn term 2025'!$AB$5:$AM$5)),0)</f>
        <v>0</v>
      </c>
      <c r="O56" s="403" cm="1">
        <f t="array" ref="O56">IFERROR(INDEX('Autumn term 2025'!$AB$6:$AM$55,_xlfn.XMATCH(RIGHT(MFG!$A56,4)*1,'Autumn term 2025'!$AA$6:$AA$55),_xlfn.XMATCH(MFG!O$7,'Autumn term 2025'!$AB$5:$AM$5)),0)</f>
        <v>0</v>
      </c>
      <c r="P56" s="403" cm="1">
        <f t="array" ref="P56">IFERROR(INDEX('Autumn term 2025'!$AB$6:$AM$55,_xlfn.XMATCH(RIGHT(MFG!$A56,4)*1,'Autumn term 2025'!$AA$6:$AA$55),_xlfn.XMATCH(MFG!P$7,'Autumn term 2025'!$AB$5:$AM$5)),0)</f>
        <v>0</v>
      </c>
      <c r="Q56" s="404" cm="1">
        <f t="array" ref="Q56">IFERROR(INDEX('Autumn term 2025'!$AB$6:$AM$55,_xlfn.XMATCH(RIGHT(MFG!$A56,4)*1,'Autumn term 2025'!$AA$6:$AA$55),_xlfn.XMATCH(MFG!Q$7,'Autumn term 2025'!$AB$5:$AM$5)),0)</f>
        <v>0</v>
      </c>
      <c r="R56" s="412">
        <f>IF(VLOOKUP($A56,Data!$A$4:$I$81,9,FALSE)="PRI",G56*$G$2+H56*$H$2+I56*$I$2+J56*$J$2+K56*$K$2+L56*$L$2+M56*$M$2+N56*$N$2+O56*$O$2+P56*$P$2+Q56*$Q$2,G56*$G$3+H56*$H$3+I56*$I$3+J56*$J$3+K56*$K$3+L56*$L$3+M56*$M$3+N56*$N$3+O56*$O$3+P56*$P$3+Q56*$Q$3)</f>
        <v>0</v>
      </c>
      <c r="S56" s="145">
        <f>IF(VLOOKUP($A56,Data!$A$4:$I$81,9,FALSE)="PRI",G56*$G$4+H56*$H$4+I56*$I$4+J56*$J$4+K56*$K$4+L56*$L$4+M56*$M$4+N56*$N$4+O56*$O$4+P56*$P$4+Q56*$Q$4,G56*$G$5+H56*$H$5+I56*$I$5+J56*$J$5+K56*$K$5+L56*$L$5+M56*$M$5+N56*$N$5+O56*$O$5+P56*$P$5+Q56*$Q$5)</f>
        <v>0</v>
      </c>
      <c r="T56" s="229">
        <f>IFERROR(VLOOKUP(RIGHT($A56,4)*1,'Autumn term 2025'!$U$6:$X$16,3,FALSE),0)</f>
        <v>0</v>
      </c>
      <c r="U56" s="230">
        <f>IFERROR(VLOOKUP(RIGHT($A56,4)*1,'Autumn term 2025'!$U$6:$X$16,2,FALSE),0)</f>
        <v>0</v>
      </c>
      <c r="V56" s="231">
        <f>IF(VLOOKUP($A56,Data!$A$3:$I$81,9,FALSE)="Pri",T56*$T$2+U56*$U$2,T56*$T$3+U56*$U$3)</f>
        <v>0</v>
      </c>
      <c r="W56" s="232">
        <f>IF(VLOOKUP($A56,Data!$A$3:$I$81,9,FALSE)="Pri",T56*$T$4+U56*$U$4,T56*$T$5+U56*$U$5)</f>
        <v>0</v>
      </c>
      <c r="X56" s="235">
        <f t="shared" si="21"/>
        <v>0</v>
      </c>
      <c r="Y56" s="399">
        <f t="shared" si="22"/>
        <v>0</v>
      </c>
      <c r="Z56" s="234">
        <f t="shared" si="23"/>
        <v>0</v>
      </c>
      <c r="AA56" s="46">
        <f t="shared" si="24"/>
        <v>0</v>
      </c>
      <c r="AB56" s="400">
        <f t="shared" si="25"/>
        <v>0</v>
      </c>
      <c r="AC56" s="21">
        <f t="shared" si="26"/>
        <v>0</v>
      </c>
      <c r="AD56" s="11"/>
      <c r="AE56" s="11"/>
      <c r="AF56" s="146">
        <f>IFERROR(VLOOKUP(A56,'25-26 MFG'!A:D,3,FALSE),0)</f>
        <v>0</v>
      </c>
      <c r="AG56" s="75">
        <f>IFERROR(VLOOKUP(A56,'25-26 MFG'!A:D,4,FALSE),0)</f>
        <v>0</v>
      </c>
      <c r="AH56" s="224">
        <f t="shared" si="27"/>
        <v>0</v>
      </c>
    </row>
    <row r="57" spans="1:34">
      <c r="A57" s="8">
        <v>8504007</v>
      </c>
      <c r="B57" s="142" t="s">
        <v>170</v>
      </c>
      <c r="C57" s="16">
        <f>IFERROR(VLOOKUP(RIGHT($A57,4)*1,'Autumn term 2025'!$AA$6:$AM$57,12,FALSE),0)</f>
        <v>3</v>
      </c>
      <c r="D57" s="16">
        <f>SUMIF(APN!$A$3:$A$97,(RIGHT($A57,4)*1),APN!$K$3:$K$97)</f>
        <v>6</v>
      </c>
      <c r="E57" s="209">
        <f>D57*Values!$J$17</f>
        <v>36000</v>
      </c>
      <c r="F57" s="410">
        <f t="shared" si="20"/>
        <v>36000</v>
      </c>
      <c r="G57" s="402" cm="1">
        <f t="array" ref="G57">IFERROR(INDEX('Autumn term 2025'!$AB$6:$AM$55,_xlfn.XMATCH(RIGHT(MFG!$A57,4)*1,'Autumn term 2025'!$AA$6:$AA$55),_xlfn.XMATCH(MFG!G$7,'Autumn term 2025'!$AB$5:$AM$5)),0)</f>
        <v>0</v>
      </c>
      <c r="H57" s="403" cm="1">
        <f t="array" ref="H57">IFERROR(INDEX('Autumn term 2025'!$AB$6:$AM$55,_xlfn.XMATCH(RIGHT(MFG!$A57,4)*1,'Autumn term 2025'!$AA$6:$AA$55),_xlfn.XMATCH(MFG!H$7,'Autumn term 2025'!$AB$5:$AM$5)),0)</f>
        <v>0</v>
      </c>
      <c r="I57" s="403" cm="1">
        <f t="array" ref="I57">IFERROR(INDEX('Autumn term 2025'!$AB$6:$AM$55,_xlfn.XMATCH(RIGHT(MFG!$A57,4)*1,'Autumn term 2025'!$AA$6:$AA$55),_xlfn.XMATCH(MFG!I$7,'Autumn term 2025'!$AB$5:$AM$5)),0)</f>
        <v>3</v>
      </c>
      <c r="J57" s="403" cm="1">
        <f t="array" ref="J57">IFERROR(INDEX('Autumn term 2025'!$AB$6:$AM$55,_xlfn.XMATCH(RIGHT(MFG!$A57,4)*1,'Autumn term 2025'!$AA$6:$AA$55),_xlfn.XMATCH(MFG!J$7,'Autumn term 2025'!$AB$5:$AM$5)),0)</f>
        <v>0</v>
      </c>
      <c r="K57" s="403" cm="1">
        <f t="array" ref="K57">IFERROR(INDEX('Autumn term 2025'!$AB$6:$AM$55,_xlfn.XMATCH(RIGHT(MFG!$A57,4)*1,'Autumn term 2025'!$AA$6:$AA$55),_xlfn.XMATCH(MFG!K$7,'Autumn term 2025'!$AB$5:$AM$5)),0)</f>
        <v>0</v>
      </c>
      <c r="L57" s="403" cm="1">
        <f t="array" ref="L57">IFERROR(INDEX('Autumn term 2025'!$AB$6:$AM$55,_xlfn.XMATCH(RIGHT(MFG!$A57,4)*1,'Autumn term 2025'!$AA$6:$AA$55),_xlfn.XMATCH(MFG!L$7,'Autumn term 2025'!$AB$5:$AM$5)),0)</f>
        <v>0</v>
      </c>
      <c r="M57" s="403" cm="1">
        <f t="array" ref="M57">IFERROR(INDEX('Autumn term 2025'!$AB$6:$AM$55,_xlfn.XMATCH(RIGHT(MFG!$A57,4)*1,'Autumn term 2025'!$AA$6:$AA$55),_xlfn.XMATCH(MFG!M$7,'Autumn term 2025'!$AB$5:$AM$5)),0)</f>
        <v>0</v>
      </c>
      <c r="N57" s="403" cm="1">
        <f t="array" ref="N57">IFERROR(INDEX('Autumn term 2025'!$AB$6:$AM$55,_xlfn.XMATCH(RIGHT(MFG!$A57,4)*1,'Autumn term 2025'!$AA$6:$AA$55),_xlfn.XMATCH(MFG!N$7,'Autumn term 2025'!$AB$5:$AM$5)),0)</f>
        <v>0</v>
      </c>
      <c r="O57" s="403" cm="1">
        <f t="array" ref="O57">IFERROR(INDEX('Autumn term 2025'!$AB$6:$AM$55,_xlfn.XMATCH(RIGHT(MFG!$A57,4)*1,'Autumn term 2025'!$AA$6:$AA$55),_xlfn.XMATCH(MFG!O$7,'Autumn term 2025'!$AB$5:$AM$5)),0)</f>
        <v>0</v>
      </c>
      <c r="P57" s="403" cm="1">
        <f t="array" ref="P57">IFERROR(INDEX('Autumn term 2025'!$AB$6:$AM$55,_xlfn.XMATCH(RIGHT(MFG!$A57,4)*1,'Autumn term 2025'!$AA$6:$AA$55),_xlfn.XMATCH(MFG!P$7,'Autumn term 2025'!$AB$5:$AM$5)),0)</f>
        <v>0</v>
      </c>
      <c r="Q57" s="404" cm="1">
        <f t="array" ref="Q57">IFERROR(INDEX('Autumn term 2025'!$AB$6:$AM$55,_xlfn.XMATCH(RIGHT(MFG!$A57,4)*1,'Autumn term 2025'!$AA$6:$AA$55),_xlfn.XMATCH(MFG!Q$7,'Autumn term 2025'!$AB$5:$AM$5)),0)</f>
        <v>0</v>
      </c>
      <c r="R57" s="412">
        <f>IF(VLOOKUP($A57,Data!$A$4:$I$81,9,FALSE)="PRI",G57*$G$2+H57*$H$2+I57*$I$2+J57*$J$2+K57*$K$2+L57*$L$2+M57*$M$2+N57*$N$2+O57*$O$2+P57*$P$2+Q57*$Q$2,G57*$G$3+H57*$H$3+I57*$I$3+J57*$J$3+K57*$K$3+L57*$L$3+M57*$M$3+N57*$N$3+O57*$O$3+P57*$P$3+Q57*$Q$3)</f>
        <v>8616</v>
      </c>
      <c r="S57" s="145">
        <f>IF(VLOOKUP($A57,Data!$A$4:$I$81,9,FALSE)="PRI",G57*$G$4+H57*$H$4+I57*$I$4+J57*$J$4+K57*$K$4+L57*$L$4+M57*$M$4+N57*$N$4+O57*$O$4+P57*$P$4+Q57*$Q$4,G57*$G$5+H57*$H$5+I57*$I$5+J57*$J$5+K57*$K$5+L57*$L$5+M57*$M$5+N57*$N$5+O57*$O$5+P57*$P$5+Q57*$Q$5)</f>
        <v>9177</v>
      </c>
      <c r="T57" s="229">
        <f>IFERROR(VLOOKUP(RIGHT($A57,4)*1,'Autumn term 2025'!$U$6:$X$16,3,FALSE),0)</f>
        <v>0</v>
      </c>
      <c r="U57" s="230">
        <f>IFERROR(VLOOKUP(RIGHT($A57,4)*1,'Autumn term 2025'!$U$6:$X$16,2,FALSE),0)</f>
        <v>0</v>
      </c>
      <c r="V57" s="231">
        <f>IF(VLOOKUP($A57,Data!$A$3:$I$81,9,FALSE)="Pri",T57*$T$2+U57*$U$2,T57*$T$3+U57*$U$3)</f>
        <v>0</v>
      </c>
      <c r="W57" s="232">
        <f>IF(VLOOKUP($A57,Data!$A$3:$I$81,9,FALSE)="Pri",T57*$T$4+U57*$U$4,T57*$T$5+U57*$U$5)</f>
        <v>0</v>
      </c>
      <c r="X57" s="235">
        <f t="shared" si="21"/>
        <v>0</v>
      </c>
      <c r="Y57" s="399">
        <f t="shared" si="22"/>
        <v>44616</v>
      </c>
      <c r="Z57" s="234">
        <f t="shared" si="23"/>
        <v>44616</v>
      </c>
      <c r="AA57" s="46">
        <f t="shared" si="24"/>
        <v>45177</v>
      </c>
      <c r="AB57" s="400">
        <f t="shared" si="25"/>
        <v>0</v>
      </c>
      <c r="AC57" s="21">
        <f t="shared" si="26"/>
        <v>0</v>
      </c>
      <c r="AD57" s="11"/>
      <c r="AE57" s="11"/>
      <c r="AF57" s="146">
        <f>IFERROR(VLOOKUP(A57,'25-26 MFG'!A:D,3,FALSE),0)</f>
        <v>0</v>
      </c>
      <c r="AG57" s="75">
        <f>IFERROR(VLOOKUP(A57,'25-26 MFG'!A:D,4,FALSE),0)</f>
        <v>0</v>
      </c>
      <c r="AH57" s="224">
        <f t="shared" si="27"/>
        <v>0</v>
      </c>
    </row>
    <row r="58" spans="1:34">
      <c r="A58" s="8">
        <v>8504008</v>
      </c>
      <c r="B58" s="142" t="s">
        <v>171</v>
      </c>
      <c r="C58" s="16">
        <f>IFERROR(VLOOKUP(RIGHT($A58,4)*1,'Autumn term 2025'!$AA$6:$AM$57,12,FALSE),0)</f>
        <v>0</v>
      </c>
      <c r="D58" s="16">
        <f>SUMIF(APN!$A$3:$A$97,(RIGHT($A58,4)*1),APN!$K$3:$K$97)</f>
        <v>0</v>
      </c>
      <c r="E58" s="209">
        <f>D58*Values!$J$17</f>
        <v>0</v>
      </c>
      <c r="F58" s="410">
        <f t="shared" si="20"/>
        <v>0</v>
      </c>
      <c r="G58" s="402" cm="1">
        <f t="array" ref="G58">IFERROR(INDEX('Autumn term 2025'!$AB$6:$AM$55,_xlfn.XMATCH(RIGHT(MFG!$A58,4)*1,'Autumn term 2025'!$AA$6:$AA$55),_xlfn.XMATCH(MFG!G$7,'Autumn term 2025'!$AB$5:$AM$5)),0)</f>
        <v>0</v>
      </c>
      <c r="H58" s="403" cm="1">
        <f t="array" ref="H58">IFERROR(INDEX('Autumn term 2025'!$AB$6:$AM$55,_xlfn.XMATCH(RIGHT(MFG!$A58,4)*1,'Autumn term 2025'!$AA$6:$AA$55),_xlfn.XMATCH(MFG!H$7,'Autumn term 2025'!$AB$5:$AM$5)),0)</f>
        <v>0</v>
      </c>
      <c r="I58" s="403" cm="1">
        <f t="array" ref="I58">IFERROR(INDEX('Autumn term 2025'!$AB$6:$AM$55,_xlfn.XMATCH(RIGHT(MFG!$A58,4)*1,'Autumn term 2025'!$AA$6:$AA$55),_xlfn.XMATCH(MFG!I$7,'Autumn term 2025'!$AB$5:$AM$5)),0)</f>
        <v>0</v>
      </c>
      <c r="J58" s="403" cm="1">
        <f t="array" ref="J58">IFERROR(INDEX('Autumn term 2025'!$AB$6:$AM$55,_xlfn.XMATCH(RIGHT(MFG!$A58,4)*1,'Autumn term 2025'!$AA$6:$AA$55),_xlfn.XMATCH(MFG!J$7,'Autumn term 2025'!$AB$5:$AM$5)),0)</f>
        <v>0</v>
      </c>
      <c r="K58" s="403" cm="1">
        <f t="array" ref="K58">IFERROR(INDEX('Autumn term 2025'!$AB$6:$AM$55,_xlfn.XMATCH(RIGHT(MFG!$A58,4)*1,'Autumn term 2025'!$AA$6:$AA$55),_xlfn.XMATCH(MFG!K$7,'Autumn term 2025'!$AB$5:$AM$5)),0)</f>
        <v>0</v>
      </c>
      <c r="L58" s="403" cm="1">
        <f t="array" ref="L58">IFERROR(INDEX('Autumn term 2025'!$AB$6:$AM$55,_xlfn.XMATCH(RIGHT(MFG!$A58,4)*1,'Autumn term 2025'!$AA$6:$AA$55),_xlfn.XMATCH(MFG!L$7,'Autumn term 2025'!$AB$5:$AM$5)),0)</f>
        <v>0</v>
      </c>
      <c r="M58" s="403" cm="1">
        <f t="array" ref="M58">IFERROR(INDEX('Autumn term 2025'!$AB$6:$AM$55,_xlfn.XMATCH(RIGHT(MFG!$A58,4)*1,'Autumn term 2025'!$AA$6:$AA$55),_xlfn.XMATCH(MFG!M$7,'Autumn term 2025'!$AB$5:$AM$5)),0)</f>
        <v>0</v>
      </c>
      <c r="N58" s="403" cm="1">
        <f t="array" ref="N58">IFERROR(INDEX('Autumn term 2025'!$AB$6:$AM$55,_xlfn.XMATCH(RIGHT(MFG!$A58,4)*1,'Autumn term 2025'!$AA$6:$AA$55),_xlfn.XMATCH(MFG!N$7,'Autumn term 2025'!$AB$5:$AM$5)),0)</f>
        <v>0</v>
      </c>
      <c r="O58" s="403" cm="1">
        <f t="array" ref="O58">IFERROR(INDEX('Autumn term 2025'!$AB$6:$AM$55,_xlfn.XMATCH(RIGHT(MFG!$A58,4)*1,'Autumn term 2025'!$AA$6:$AA$55),_xlfn.XMATCH(MFG!O$7,'Autumn term 2025'!$AB$5:$AM$5)),0)</f>
        <v>0</v>
      </c>
      <c r="P58" s="403" cm="1">
        <f t="array" ref="P58">IFERROR(INDEX('Autumn term 2025'!$AB$6:$AM$55,_xlfn.XMATCH(RIGHT(MFG!$A58,4)*1,'Autumn term 2025'!$AA$6:$AA$55),_xlfn.XMATCH(MFG!P$7,'Autumn term 2025'!$AB$5:$AM$5)),0)</f>
        <v>0</v>
      </c>
      <c r="Q58" s="404" cm="1">
        <f t="array" ref="Q58">IFERROR(INDEX('Autumn term 2025'!$AB$6:$AM$55,_xlfn.XMATCH(RIGHT(MFG!$A58,4)*1,'Autumn term 2025'!$AA$6:$AA$55),_xlfn.XMATCH(MFG!Q$7,'Autumn term 2025'!$AB$5:$AM$5)),0)</f>
        <v>0</v>
      </c>
      <c r="R58" s="412">
        <f>IF(VLOOKUP($A58,Data!$A$4:$I$81,9,FALSE)="PRI",G58*$G$2+H58*$H$2+I58*$I$2+J58*$J$2+K58*$K$2+L58*$L$2+M58*$M$2+N58*$N$2+O58*$O$2+P58*$P$2+Q58*$Q$2,G58*$G$3+H58*$H$3+I58*$I$3+J58*$J$3+K58*$K$3+L58*$L$3+M58*$M$3+N58*$N$3+O58*$O$3+P58*$P$3+Q58*$Q$3)</f>
        <v>0</v>
      </c>
      <c r="S58" s="145">
        <f>IF(VLOOKUP($A58,Data!$A$4:$I$81,9,FALSE)="PRI",G58*$G$4+H58*$H$4+I58*$I$4+J58*$J$4+K58*$K$4+L58*$L$4+M58*$M$4+N58*$N$4+O58*$O$4+P58*$P$4+Q58*$Q$4,G58*$G$5+H58*$H$5+I58*$I$5+J58*$J$5+K58*$K$5+L58*$L$5+M58*$M$5+N58*$N$5+O58*$O$5+P58*$P$5+Q58*$Q$5)</f>
        <v>0</v>
      </c>
      <c r="T58" s="229">
        <f>IFERROR(VLOOKUP(RIGHT($A58,4)*1,'Autumn term 2025'!$U$6:$X$16,3,FALSE),0)</f>
        <v>0</v>
      </c>
      <c r="U58" s="230">
        <f>IFERROR(VLOOKUP(RIGHT($A58,4)*1,'Autumn term 2025'!$U$6:$X$16,2,FALSE),0)</f>
        <v>0</v>
      </c>
      <c r="V58" s="231">
        <f>IF(VLOOKUP($A58,Data!$A$3:$I$81,9,FALSE)="Pri",T58*$T$2+U58*$U$2,T58*$T$3+U58*$U$3)</f>
        <v>0</v>
      </c>
      <c r="W58" s="232">
        <f>IF(VLOOKUP($A58,Data!$A$3:$I$81,9,FALSE)="Pri",T58*$T$4+U58*$U$4,T58*$T$5+U58*$U$5)</f>
        <v>0</v>
      </c>
      <c r="X58" s="235">
        <f t="shared" si="21"/>
        <v>0</v>
      </c>
      <c r="Y58" s="399">
        <f t="shared" si="22"/>
        <v>0</v>
      </c>
      <c r="Z58" s="234">
        <f t="shared" si="23"/>
        <v>0</v>
      </c>
      <c r="AA58" s="46">
        <f t="shared" si="24"/>
        <v>0</v>
      </c>
      <c r="AB58" s="400">
        <f t="shared" si="25"/>
        <v>0</v>
      </c>
      <c r="AC58" s="21">
        <f t="shared" si="26"/>
        <v>0</v>
      </c>
      <c r="AD58" s="11"/>
      <c r="AE58" s="11"/>
      <c r="AF58" s="146">
        <f>IFERROR(VLOOKUP(A58,'25-26 MFG'!A:D,3,FALSE),0)</f>
        <v>0</v>
      </c>
      <c r="AG58" s="75">
        <f>IFERROR(VLOOKUP(A58,'25-26 MFG'!A:D,4,FALSE),0)</f>
        <v>0</v>
      </c>
      <c r="AH58" s="224">
        <f t="shared" si="27"/>
        <v>0</v>
      </c>
    </row>
    <row r="59" spans="1:34">
      <c r="A59" s="8">
        <v>8504019</v>
      </c>
      <c r="B59" s="142" t="s">
        <v>172</v>
      </c>
      <c r="C59" s="16">
        <f>IFERROR(VLOOKUP(RIGHT($A59,4)*1,'Autumn term 2025'!$AA$6:$AM$57,12,FALSE),0)</f>
        <v>0</v>
      </c>
      <c r="D59" s="16">
        <f>SUMIF(APN!$A$3:$A$97,(RIGHT($A59,4)*1),APN!$K$3:$K$97)</f>
        <v>0</v>
      </c>
      <c r="E59" s="209">
        <f>D59*Values!$J$17</f>
        <v>0</v>
      </c>
      <c r="F59" s="410">
        <f t="shared" si="20"/>
        <v>0</v>
      </c>
      <c r="G59" s="402" cm="1">
        <f t="array" ref="G59">IFERROR(INDEX('Autumn term 2025'!$AB$6:$AM$55,_xlfn.XMATCH(RIGHT(MFG!$A59,4)*1,'Autumn term 2025'!$AA$6:$AA$55),_xlfn.XMATCH(MFG!G$7,'Autumn term 2025'!$AB$5:$AM$5)),0)</f>
        <v>0</v>
      </c>
      <c r="H59" s="403" cm="1">
        <f t="array" ref="H59">IFERROR(INDEX('Autumn term 2025'!$AB$6:$AM$55,_xlfn.XMATCH(RIGHT(MFG!$A59,4)*1,'Autumn term 2025'!$AA$6:$AA$55),_xlfn.XMATCH(MFG!H$7,'Autumn term 2025'!$AB$5:$AM$5)),0)</f>
        <v>0</v>
      </c>
      <c r="I59" s="403" cm="1">
        <f t="array" ref="I59">IFERROR(INDEX('Autumn term 2025'!$AB$6:$AM$55,_xlfn.XMATCH(RIGHT(MFG!$A59,4)*1,'Autumn term 2025'!$AA$6:$AA$55),_xlfn.XMATCH(MFG!I$7,'Autumn term 2025'!$AB$5:$AM$5)),0)</f>
        <v>0</v>
      </c>
      <c r="J59" s="403" cm="1">
        <f t="array" ref="J59">IFERROR(INDEX('Autumn term 2025'!$AB$6:$AM$55,_xlfn.XMATCH(RIGHT(MFG!$A59,4)*1,'Autumn term 2025'!$AA$6:$AA$55),_xlfn.XMATCH(MFG!J$7,'Autumn term 2025'!$AB$5:$AM$5)),0)</f>
        <v>0</v>
      </c>
      <c r="K59" s="403" cm="1">
        <f t="array" ref="K59">IFERROR(INDEX('Autumn term 2025'!$AB$6:$AM$55,_xlfn.XMATCH(RIGHT(MFG!$A59,4)*1,'Autumn term 2025'!$AA$6:$AA$55),_xlfn.XMATCH(MFG!K$7,'Autumn term 2025'!$AB$5:$AM$5)),0)</f>
        <v>0</v>
      </c>
      <c r="L59" s="403" cm="1">
        <f t="array" ref="L59">IFERROR(INDEX('Autumn term 2025'!$AB$6:$AM$55,_xlfn.XMATCH(RIGHT(MFG!$A59,4)*1,'Autumn term 2025'!$AA$6:$AA$55),_xlfn.XMATCH(MFG!L$7,'Autumn term 2025'!$AB$5:$AM$5)),0)</f>
        <v>0</v>
      </c>
      <c r="M59" s="403" cm="1">
        <f t="array" ref="M59">IFERROR(INDEX('Autumn term 2025'!$AB$6:$AM$55,_xlfn.XMATCH(RIGHT(MFG!$A59,4)*1,'Autumn term 2025'!$AA$6:$AA$55),_xlfn.XMATCH(MFG!M$7,'Autumn term 2025'!$AB$5:$AM$5)),0)</f>
        <v>0</v>
      </c>
      <c r="N59" s="403" cm="1">
        <f t="array" ref="N59">IFERROR(INDEX('Autumn term 2025'!$AB$6:$AM$55,_xlfn.XMATCH(RIGHT(MFG!$A59,4)*1,'Autumn term 2025'!$AA$6:$AA$55),_xlfn.XMATCH(MFG!N$7,'Autumn term 2025'!$AB$5:$AM$5)),0)</f>
        <v>0</v>
      </c>
      <c r="O59" s="403" cm="1">
        <f t="array" ref="O59">IFERROR(INDEX('Autumn term 2025'!$AB$6:$AM$55,_xlfn.XMATCH(RIGHT(MFG!$A59,4)*1,'Autumn term 2025'!$AA$6:$AA$55),_xlfn.XMATCH(MFG!O$7,'Autumn term 2025'!$AB$5:$AM$5)),0)</f>
        <v>0</v>
      </c>
      <c r="P59" s="403" cm="1">
        <f t="array" ref="P59">IFERROR(INDEX('Autumn term 2025'!$AB$6:$AM$55,_xlfn.XMATCH(RIGHT(MFG!$A59,4)*1,'Autumn term 2025'!$AA$6:$AA$55),_xlfn.XMATCH(MFG!P$7,'Autumn term 2025'!$AB$5:$AM$5)),0)</f>
        <v>0</v>
      </c>
      <c r="Q59" s="404" cm="1">
        <f t="array" ref="Q59">IFERROR(INDEX('Autumn term 2025'!$AB$6:$AM$55,_xlfn.XMATCH(RIGHT(MFG!$A59,4)*1,'Autumn term 2025'!$AA$6:$AA$55),_xlfn.XMATCH(MFG!Q$7,'Autumn term 2025'!$AB$5:$AM$5)),0)</f>
        <v>0</v>
      </c>
      <c r="R59" s="412">
        <f>IF(VLOOKUP($A59,Data!$A$4:$I$81,9,FALSE)="PRI",G59*$G$2+H59*$H$2+I59*$I$2+J59*$J$2+K59*$K$2+L59*$L$2+M59*$M$2+N59*$N$2+O59*$O$2+P59*$P$2+Q59*$Q$2,G59*$G$3+H59*$H$3+I59*$I$3+J59*$J$3+K59*$K$3+L59*$L$3+M59*$M$3+N59*$N$3+O59*$O$3+P59*$P$3+Q59*$Q$3)</f>
        <v>0</v>
      </c>
      <c r="S59" s="145">
        <f>IF(VLOOKUP($A59,Data!$A$4:$I$81,9,FALSE)="PRI",G59*$G$4+H59*$H$4+I59*$I$4+J59*$J$4+K59*$K$4+L59*$L$4+M59*$M$4+N59*$N$4+O59*$O$4+P59*$P$4+Q59*$Q$4,G59*$G$5+H59*$H$5+I59*$I$5+J59*$J$5+K59*$K$5+L59*$L$5+M59*$M$5+N59*$N$5+O59*$O$5+P59*$P$5+Q59*$Q$5)</f>
        <v>0</v>
      </c>
      <c r="T59" s="229">
        <f>IFERROR(VLOOKUP(RIGHT($A59,4)*1,'Autumn term 2025'!$U$6:$X$16,3,FALSE),0)</f>
        <v>0</v>
      </c>
      <c r="U59" s="230">
        <f>IFERROR(VLOOKUP(RIGHT($A59,4)*1,'Autumn term 2025'!$U$6:$X$16,2,FALSE),0)</f>
        <v>0</v>
      </c>
      <c r="V59" s="231">
        <f>IF(VLOOKUP($A59,Data!$A$3:$I$81,9,FALSE)="Pri",T59*$T$2+U59*$U$2,T59*$T$3+U59*$U$3)</f>
        <v>0</v>
      </c>
      <c r="W59" s="232">
        <f>IF(VLOOKUP($A59,Data!$A$3:$I$81,9,FALSE)="Pri",T59*$T$4+U59*$U$4,T59*$T$5+U59*$U$5)</f>
        <v>0</v>
      </c>
      <c r="X59" s="235">
        <f t="shared" si="21"/>
        <v>0</v>
      </c>
      <c r="Y59" s="399">
        <f t="shared" si="22"/>
        <v>0</v>
      </c>
      <c r="Z59" s="234">
        <f t="shared" si="23"/>
        <v>0</v>
      </c>
      <c r="AA59" s="46">
        <f t="shared" si="24"/>
        <v>0</v>
      </c>
      <c r="AB59" s="400">
        <f t="shared" si="25"/>
        <v>0</v>
      </c>
      <c r="AC59" s="21">
        <f t="shared" si="26"/>
        <v>0</v>
      </c>
      <c r="AD59" s="11"/>
      <c r="AE59" s="11"/>
      <c r="AF59" s="146">
        <f>IFERROR(VLOOKUP(A59,'25-26 MFG'!A:D,3,FALSE),0)</f>
        <v>0</v>
      </c>
      <c r="AG59" s="75">
        <f>IFERROR(VLOOKUP(A59,'25-26 MFG'!A:D,4,FALSE),0)</f>
        <v>0</v>
      </c>
      <c r="AH59" s="224">
        <f t="shared" si="27"/>
        <v>0</v>
      </c>
    </row>
    <row r="60" spans="1:34">
      <c r="A60" s="8">
        <v>8504110</v>
      </c>
      <c r="B60" s="142" t="s">
        <v>29</v>
      </c>
      <c r="C60" s="16">
        <f>IFERROR(VLOOKUP(RIGHT($A60,4)*1,'Autumn term 2025'!$AA$6:$AM$57,12,FALSE),0)</f>
        <v>13</v>
      </c>
      <c r="D60" s="16">
        <f>SUMIF(APN!$A$3:$A$97,(RIGHT($A60,4)*1),APN!$K$3:$K$97)</f>
        <v>20</v>
      </c>
      <c r="E60" s="209">
        <f>D60*Values!$J$17</f>
        <v>120000</v>
      </c>
      <c r="F60" s="410">
        <f t="shared" si="20"/>
        <v>120000</v>
      </c>
      <c r="G60" s="402" cm="1">
        <f t="array" ref="G60">IFERROR(INDEX('Autumn term 2025'!$AB$6:$AM$55,_xlfn.XMATCH(RIGHT(MFG!$A60,4)*1,'Autumn term 2025'!$AA$6:$AA$55),_xlfn.XMATCH(MFG!G$7,'Autumn term 2025'!$AB$5:$AM$5)),0)</f>
        <v>11</v>
      </c>
      <c r="H60" s="403" cm="1">
        <f t="array" ref="H60">IFERROR(INDEX('Autumn term 2025'!$AB$6:$AM$55,_xlfn.XMATCH(RIGHT(MFG!$A60,4)*1,'Autumn term 2025'!$AA$6:$AA$55),_xlfn.XMATCH(MFG!H$7,'Autumn term 2025'!$AB$5:$AM$5)),0)</f>
        <v>0</v>
      </c>
      <c r="I60" s="403" cm="1">
        <f t="array" ref="I60">IFERROR(INDEX('Autumn term 2025'!$AB$6:$AM$55,_xlfn.XMATCH(RIGHT(MFG!$A60,4)*1,'Autumn term 2025'!$AA$6:$AA$55),_xlfn.XMATCH(MFG!I$7,'Autumn term 2025'!$AB$5:$AM$5)),0)</f>
        <v>0</v>
      </c>
      <c r="J60" s="403" cm="1">
        <f t="array" ref="J60">IFERROR(INDEX('Autumn term 2025'!$AB$6:$AM$55,_xlfn.XMATCH(RIGHT(MFG!$A60,4)*1,'Autumn term 2025'!$AA$6:$AA$55),_xlfn.XMATCH(MFG!J$7,'Autumn term 2025'!$AB$5:$AM$5)),0)</f>
        <v>0</v>
      </c>
      <c r="K60" s="403" cm="1">
        <f t="array" ref="K60">IFERROR(INDEX('Autumn term 2025'!$AB$6:$AM$55,_xlfn.XMATCH(RIGHT(MFG!$A60,4)*1,'Autumn term 2025'!$AA$6:$AA$55),_xlfn.XMATCH(MFG!K$7,'Autumn term 2025'!$AB$5:$AM$5)),0)</f>
        <v>0</v>
      </c>
      <c r="L60" s="403" cm="1">
        <f t="array" ref="L60">IFERROR(INDEX('Autumn term 2025'!$AB$6:$AM$55,_xlfn.XMATCH(RIGHT(MFG!$A60,4)*1,'Autumn term 2025'!$AA$6:$AA$55),_xlfn.XMATCH(MFG!L$7,'Autumn term 2025'!$AB$5:$AM$5)),0)</f>
        <v>0</v>
      </c>
      <c r="M60" s="403" cm="1">
        <f t="array" ref="M60">IFERROR(INDEX('Autumn term 2025'!$AB$6:$AM$55,_xlfn.XMATCH(RIGHT(MFG!$A60,4)*1,'Autumn term 2025'!$AA$6:$AA$55),_xlfn.XMATCH(MFG!M$7,'Autumn term 2025'!$AB$5:$AM$5)),0)</f>
        <v>0</v>
      </c>
      <c r="N60" s="403" cm="1">
        <f t="array" ref="N60">IFERROR(INDEX('Autumn term 2025'!$AB$6:$AM$55,_xlfn.XMATCH(RIGHT(MFG!$A60,4)*1,'Autumn term 2025'!$AA$6:$AA$55),_xlfn.XMATCH(MFG!N$7,'Autumn term 2025'!$AB$5:$AM$5)),0)</f>
        <v>0</v>
      </c>
      <c r="O60" s="403" cm="1">
        <f t="array" ref="O60">IFERROR(INDEX('Autumn term 2025'!$AB$6:$AM$55,_xlfn.XMATCH(RIGHT(MFG!$A60,4)*1,'Autumn term 2025'!$AA$6:$AA$55),_xlfn.XMATCH(MFG!O$7,'Autumn term 2025'!$AB$5:$AM$5)),0)</f>
        <v>0</v>
      </c>
      <c r="P60" s="403" cm="1">
        <f t="array" ref="P60">IFERROR(INDEX('Autumn term 2025'!$AB$6:$AM$55,_xlfn.XMATCH(RIGHT(MFG!$A60,4)*1,'Autumn term 2025'!$AA$6:$AA$55),_xlfn.XMATCH(MFG!P$7,'Autumn term 2025'!$AB$5:$AM$5)),0)</f>
        <v>2</v>
      </c>
      <c r="Q60" s="404" cm="1">
        <f t="array" ref="Q60">IFERROR(INDEX('Autumn term 2025'!$AB$6:$AM$55,_xlfn.XMATCH(RIGHT(MFG!$A60,4)*1,'Autumn term 2025'!$AA$6:$AA$55),_xlfn.XMATCH(MFG!Q$7,'Autumn term 2025'!$AB$5:$AM$5)),0)</f>
        <v>0</v>
      </c>
      <c r="R60" s="412">
        <f>IF(VLOOKUP($A60,Data!$A$4:$I$81,9,FALSE)="PRI",G60*$G$2+H60*$H$2+I60*$I$2+J60*$J$2+K60*$K$2+L60*$L$2+M60*$M$2+N60*$N$2+O60*$O$2+P60*$P$2+Q60*$Q$2,G60*$G$3+H60*$H$3+I60*$I$3+J60*$J$3+K60*$K$3+L60*$L$3+M60*$M$3+N60*$N$3+O60*$O$3+P60*$P$3+Q60*$Q$3)</f>
        <v>111352</v>
      </c>
      <c r="S60" s="145">
        <f>IF(VLOOKUP($A60,Data!$A$4:$I$81,9,FALSE)="PRI",G60*$G$4+H60*$H$4+I60*$I$4+J60*$J$4+K60*$K$4+L60*$L$4+M60*$M$4+N60*$N$4+O60*$O$4+P60*$P$4+Q60*$Q$4,G60*$G$5+H60*$H$5+I60*$I$5+J60*$J$5+K60*$K$5+L60*$L$5+M60*$M$5+N60*$N$5+O60*$O$5+P60*$P$5+Q60*$Q$5)</f>
        <v>115339</v>
      </c>
      <c r="T60" s="229">
        <f>IFERROR(VLOOKUP(RIGHT($A60,4)*1,'Autumn term 2025'!$U$6:$X$16,3,FALSE),0)</f>
        <v>0</v>
      </c>
      <c r="U60" s="230">
        <f>IFERROR(VLOOKUP(RIGHT($A60,4)*1,'Autumn term 2025'!$U$6:$X$16,2,FALSE),0)</f>
        <v>0</v>
      </c>
      <c r="V60" s="231">
        <f>IF(VLOOKUP($A60,Data!$A$3:$I$81,9,FALSE)="Pri",T60*$T$2+U60*$U$2,T60*$T$3+U60*$U$3)</f>
        <v>0</v>
      </c>
      <c r="W60" s="232">
        <f>IF(VLOOKUP($A60,Data!$A$3:$I$81,9,FALSE)="Pri",T60*$T$4+U60*$U$4,T60*$T$5+U60*$U$5)</f>
        <v>0</v>
      </c>
      <c r="X60" s="235">
        <f t="shared" si="21"/>
        <v>0</v>
      </c>
      <c r="Y60" s="399">
        <f t="shared" si="22"/>
        <v>231352</v>
      </c>
      <c r="Z60" s="234">
        <f t="shared" si="23"/>
        <v>231352</v>
      </c>
      <c r="AA60" s="46">
        <f t="shared" si="24"/>
        <v>235339</v>
      </c>
      <c r="AB60" s="400">
        <f t="shared" si="25"/>
        <v>0</v>
      </c>
      <c r="AC60" s="21">
        <f t="shared" si="26"/>
        <v>0</v>
      </c>
      <c r="AD60" s="11"/>
      <c r="AE60" s="11"/>
      <c r="AF60" s="146">
        <f>IFERROR(VLOOKUP(A60,'25-26 MFG'!A:D,3,FALSE),0)</f>
        <v>0</v>
      </c>
      <c r="AG60" s="75">
        <f>IFERROR(VLOOKUP(A60,'25-26 MFG'!A:D,4,FALSE),0)</f>
        <v>0</v>
      </c>
      <c r="AH60" s="224">
        <f t="shared" si="27"/>
        <v>0</v>
      </c>
    </row>
    <row r="61" spans="1:34">
      <c r="A61" s="8">
        <v>8504113</v>
      </c>
      <c r="B61" s="142" t="s">
        <v>30</v>
      </c>
      <c r="C61" s="16">
        <f>IFERROR(VLOOKUP(RIGHT($A61,4)*1,'Autumn term 2025'!$AA$6:$AM$57,12,FALSE),0)</f>
        <v>17</v>
      </c>
      <c r="D61" s="16">
        <f>SUMIF(APN!$A$3:$A$97,(RIGHT($A61,4)*1),APN!$K$3:$K$97)</f>
        <v>19.583333333333332</v>
      </c>
      <c r="E61" s="209">
        <f>D61*Values!$J$17</f>
        <v>117500</v>
      </c>
      <c r="F61" s="410">
        <f t="shared" si="20"/>
        <v>117500</v>
      </c>
      <c r="G61" s="402" cm="1">
        <f t="array" ref="G61">IFERROR(INDEX('Autumn term 2025'!$AB$6:$AM$55,_xlfn.XMATCH(RIGHT(MFG!$A61,4)*1,'Autumn term 2025'!$AA$6:$AA$55),_xlfn.XMATCH(MFG!G$7,'Autumn term 2025'!$AB$5:$AM$5)),0)</f>
        <v>0</v>
      </c>
      <c r="H61" s="403" cm="1">
        <f t="array" ref="H61">IFERROR(INDEX('Autumn term 2025'!$AB$6:$AM$55,_xlfn.XMATCH(RIGHT(MFG!$A61,4)*1,'Autumn term 2025'!$AA$6:$AA$55),_xlfn.XMATCH(MFG!H$7,'Autumn term 2025'!$AB$5:$AM$5)),0)</f>
        <v>0</v>
      </c>
      <c r="I61" s="403" cm="1">
        <f t="array" ref="I61">IFERROR(INDEX('Autumn term 2025'!$AB$6:$AM$55,_xlfn.XMATCH(RIGHT(MFG!$A61,4)*1,'Autumn term 2025'!$AA$6:$AA$55),_xlfn.XMATCH(MFG!I$7,'Autumn term 2025'!$AB$5:$AM$5)),0)</f>
        <v>0</v>
      </c>
      <c r="J61" s="403" cm="1">
        <f t="array" ref="J61">IFERROR(INDEX('Autumn term 2025'!$AB$6:$AM$55,_xlfn.XMATCH(RIGHT(MFG!$A61,4)*1,'Autumn term 2025'!$AA$6:$AA$55),_xlfn.XMATCH(MFG!J$7,'Autumn term 2025'!$AB$5:$AM$5)),0)</f>
        <v>0</v>
      </c>
      <c r="K61" s="403" cm="1">
        <f t="array" ref="K61">IFERROR(INDEX('Autumn term 2025'!$AB$6:$AM$55,_xlfn.XMATCH(RIGHT(MFG!$A61,4)*1,'Autumn term 2025'!$AA$6:$AA$55),_xlfn.XMATCH(MFG!K$7,'Autumn term 2025'!$AB$5:$AM$5)),0)</f>
        <v>0</v>
      </c>
      <c r="L61" s="403" cm="1">
        <f t="array" ref="L61">IFERROR(INDEX('Autumn term 2025'!$AB$6:$AM$55,_xlfn.XMATCH(RIGHT(MFG!$A61,4)*1,'Autumn term 2025'!$AA$6:$AA$55),_xlfn.XMATCH(MFG!L$7,'Autumn term 2025'!$AB$5:$AM$5)),0)</f>
        <v>0</v>
      </c>
      <c r="M61" s="403" cm="1">
        <f t="array" ref="M61">IFERROR(INDEX('Autumn term 2025'!$AB$6:$AM$55,_xlfn.XMATCH(RIGHT(MFG!$A61,4)*1,'Autumn term 2025'!$AA$6:$AA$55),_xlfn.XMATCH(MFG!M$7,'Autumn term 2025'!$AB$5:$AM$5)),0)</f>
        <v>0</v>
      </c>
      <c r="N61" s="403" cm="1">
        <f t="array" ref="N61">IFERROR(INDEX('Autumn term 2025'!$AB$6:$AM$55,_xlfn.XMATCH(RIGHT(MFG!$A61,4)*1,'Autumn term 2025'!$AA$6:$AA$55),_xlfn.XMATCH(MFG!N$7,'Autumn term 2025'!$AB$5:$AM$5)),0)</f>
        <v>0</v>
      </c>
      <c r="O61" s="403" cm="1">
        <f t="array" ref="O61">IFERROR(INDEX('Autumn term 2025'!$AB$6:$AM$55,_xlfn.XMATCH(RIGHT(MFG!$A61,4)*1,'Autumn term 2025'!$AA$6:$AA$55),_xlfn.XMATCH(MFG!O$7,'Autumn term 2025'!$AB$5:$AM$5)),0)</f>
        <v>0</v>
      </c>
      <c r="P61" s="403" cm="1">
        <f t="array" ref="P61">IFERROR(INDEX('Autumn term 2025'!$AB$6:$AM$55,_xlfn.XMATCH(RIGHT(MFG!$A61,4)*1,'Autumn term 2025'!$AA$6:$AA$55),_xlfn.XMATCH(MFG!P$7,'Autumn term 2025'!$AB$5:$AM$5)),0)</f>
        <v>0</v>
      </c>
      <c r="Q61" s="404" cm="1">
        <f t="array" ref="Q61">IFERROR(INDEX('Autumn term 2025'!$AB$6:$AM$55,_xlfn.XMATCH(RIGHT(MFG!$A61,4)*1,'Autumn term 2025'!$AA$6:$AA$55),_xlfn.XMATCH(MFG!Q$7,'Autumn term 2025'!$AB$5:$AM$5)),0)</f>
        <v>17</v>
      </c>
      <c r="R61" s="412">
        <f>IF(VLOOKUP($A61,Data!$A$4:$I$81,9,FALSE)="PRI",G61*$G$2+H61*$H$2+I61*$I$2+J61*$J$2+K61*$K$2+L61*$L$2+M61*$M$2+N61*$N$2+O61*$O$2+P61*$P$2+Q61*$Q$2,G61*$G$3+H61*$H$3+I61*$I$3+J61*$J$3+K61*$K$3+L61*$L$3+M61*$M$3+N61*$N$3+O61*$O$3+P61*$P$3+Q61*$Q$3)</f>
        <v>209899</v>
      </c>
      <c r="S61" s="145">
        <f>IF(VLOOKUP($A61,Data!$A$4:$I$81,9,FALSE)="PRI",G61*$G$4+H61*$H$4+I61*$I$4+J61*$J$4+K61*$K$4+L61*$L$4+M61*$M$4+N61*$N$4+O61*$O$4+P61*$P$4+Q61*$Q$4,G61*$G$5+H61*$H$5+I61*$I$5+J61*$J$5+K61*$K$5+L61*$L$5+M61*$M$5+N61*$N$5+O61*$O$5+P61*$P$5+Q61*$Q$5)</f>
        <v>216461</v>
      </c>
      <c r="T61" s="229">
        <f>IFERROR(VLOOKUP(RIGHT($A61,4)*1,'Autumn term 2025'!$U$6:$X$16,3,FALSE),0)</f>
        <v>1</v>
      </c>
      <c r="U61" s="230">
        <f>IFERROR(VLOOKUP(RIGHT($A61,4)*1,'Autumn term 2025'!$U$6:$X$16,2,FALSE),0)</f>
        <v>0</v>
      </c>
      <c r="V61" s="231">
        <f>IF(VLOOKUP($A61,Data!$A$3:$I$81,9,FALSE)="Pri",T61*$T$2+U61*$U$2,T61*$T$3+U61*$U$3)</f>
        <v>6496</v>
      </c>
      <c r="W61" s="232">
        <f>IF(VLOOKUP($A61,Data!$A$3:$I$81,9,FALSE)="Pri",T61*$T$4+U61*$U$4,T61*$T$5+U61*$U$5)</f>
        <v>6633</v>
      </c>
      <c r="X61" s="235">
        <f t="shared" si="21"/>
        <v>0</v>
      </c>
      <c r="Y61" s="399">
        <f t="shared" si="22"/>
        <v>333895</v>
      </c>
      <c r="Z61" s="234">
        <f t="shared" si="23"/>
        <v>333895</v>
      </c>
      <c r="AA61" s="46">
        <f t="shared" si="24"/>
        <v>340594</v>
      </c>
      <c r="AB61" s="400">
        <f t="shared" si="25"/>
        <v>0</v>
      </c>
      <c r="AC61" s="21">
        <f t="shared" si="26"/>
        <v>0</v>
      </c>
      <c r="AD61" s="11"/>
      <c r="AE61" s="11"/>
      <c r="AF61" s="146">
        <f>IFERROR(VLOOKUP(A61,'25-26 MFG'!A:D,3,FALSE),0)</f>
        <v>0</v>
      </c>
      <c r="AG61" s="75">
        <f>IFERROR(VLOOKUP(A61,'25-26 MFG'!A:D,4,FALSE),0)</f>
        <v>0</v>
      </c>
      <c r="AH61" s="224">
        <f t="shared" si="27"/>
        <v>0</v>
      </c>
    </row>
    <row r="62" spans="1:34">
      <c r="A62" s="8">
        <v>8504119</v>
      </c>
      <c r="B62" s="142" t="s">
        <v>173</v>
      </c>
      <c r="C62" s="16">
        <f>IFERROR(VLOOKUP(RIGHT($A62,4)*1,'Autumn term 2025'!$AA$6:$AM$57,12,FALSE),0)</f>
        <v>0</v>
      </c>
      <c r="D62" s="16">
        <f>SUMIF(APN!$A$3:$A$97,(RIGHT($A62,4)*1),APN!$K$3:$K$97)</f>
        <v>0</v>
      </c>
      <c r="E62" s="209">
        <f>D62*Values!$J$17</f>
        <v>0</v>
      </c>
      <c r="F62" s="410">
        <f t="shared" si="20"/>
        <v>0</v>
      </c>
      <c r="G62" s="402" cm="1">
        <f t="array" ref="G62">IFERROR(INDEX('Autumn term 2025'!$AB$6:$AM$55,_xlfn.XMATCH(RIGHT(MFG!$A62,4)*1,'Autumn term 2025'!$AA$6:$AA$55),_xlfn.XMATCH(MFG!G$7,'Autumn term 2025'!$AB$5:$AM$5)),0)</f>
        <v>0</v>
      </c>
      <c r="H62" s="403" cm="1">
        <f t="array" ref="H62">IFERROR(INDEX('Autumn term 2025'!$AB$6:$AM$55,_xlfn.XMATCH(RIGHT(MFG!$A62,4)*1,'Autumn term 2025'!$AA$6:$AA$55),_xlfn.XMATCH(MFG!H$7,'Autumn term 2025'!$AB$5:$AM$5)),0)</f>
        <v>0</v>
      </c>
      <c r="I62" s="403" cm="1">
        <f t="array" ref="I62">IFERROR(INDEX('Autumn term 2025'!$AB$6:$AM$55,_xlfn.XMATCH(RIGHT(MFG!$A62,4)*1,'Autumn term 2025'!$AA$6:$AA$55),_xlfn.XMATCH(MFG!I$7,'Autumn term 2025'!$AB$5:$AM$5)),0)</f>
        <v>0</v>
      </c>
      <c r="J62" s="403" cm="1">
        <f t="array" ref="J62">IFERROR(INDEX('Autumn term 2025'!$AB$6:$AM$55,_xlfn.XMATCH(RIGHT(MFG!$A62,4)*1,'Autumn term 2025'!$AA$6:$AA$55),_xlfn.XMATCH(MFG!J$7,'Autumn term 2025'!$AB$5:$AM$5)),0)</f>
        <v>0</v>
      </c>
      <c r="K62" s="403" cm="1">
        <f t="array" ref="K62">IFERROR(INDEX('Autumn term 2025'!$AB$6:$AM$55,_xlfn.XMATCH(RIGHT(MFG!$A62,4)*1,'Autumn term 2025'!$AA$6:$AA$55),_xlfn.XMATCH(MFG!K$7,'Autumn term 2025'!$AB$5:$AM$5)),0)</f>
        <v>0</v>
      </c>
      <c r="L62" s="403" cm="1">
        <f t="array" ref="L62">IFERROR(INDEX('Autumn term 2025'!$AB$6:$AM$55,_xlfn.XMATCH(RIGHT(MFG!$A62,4)*1,'Autumn term 2025'!$AA$6:$AA$55),_xlfn.XMATCH(MFG!L$7,'Autumn term 2025'!$AB$5:$AM$5)),0)</f>
        <v>0</v>
      </c>
      <c r="M62" s="403" cm="1">
        <f t="array" ref="M62">IFERROR(INDEX('Autumn term 2025'!$AB$6:$AM$55,_xlfn.XMATCH(RIGHT(MFG!$A62,4)*1,'Autumn term 2025'!$AA$6:$AA$55),_xlfn.XMATCH(MFG!M$7,'Autumn term 2025'!$AB$5:$AM$5)),0)</f>
        <v>0</v>
      </c>
      <c r="N62" s="403" cm="1">
        <f t="array" ref="N62">IFERROR(INDEX('Autumn term 2025'!$AB$6:$AM$55,_xlfn.XMATCH(RIGHT(MFG!$A62,4)*1,'Autumn term 2025'!$AA$6:$AA$55),_xlfn.XMATCH(MFG!N$7,'Autumn term 2025'!$AB$5:$AM$5)),0)</f>
        <v>0</v>
      </c>
      <c r="O62" s="403" cm="1">
        <f t="array" ref="O62">IFERROR(INDEX('Autumn term 2025'!$AB$6:$AM$55,_xlfn.XMATCH(RIGHT(MFG!$A62,4)*1,'Autumn term 2025'!$AA$6:$AA$55),_xlfn.XMATCH(MFG!O$7,'Autumn term 2025'!$AB$5:$AM$5)),0)</f>
        <v>0</v>
      </c>
      <c r="P62" s="403" cm="1">
        <f t="array" ref="P62">IFERROR(INDEX('Autumn term 2025'!$AB$6:$AM$55,_xlfn.XMATCH(RIGHT(MFG!$A62,4)*1,'Autumn term 2025'!$AA$6:$AA$55),_xlfn.XMATCH(MFG!P$7,'Autumn term 2025'!$AB$5:$AM$5)),0)</f>
        <v>0</v>
      </c>
      <c r="Q62" s="404" cm="1">
        <f t="array" ref="Q62">IFERROR(INDEX('Autumn term 2025'!$AB$6:$AM$55,_xlfn.XMATCH(RIGHT(MFG!$A62,4)*1,'Autumn term 2025'!$AA$6:$AA$55),_xlfn.XMATCH(MFG!Q$7,'Autumn term 2025'!$AB$5:$AM$5)),0)</f>
        <v>0</v>
      </c>
      <c r="R62" s="412">
        <f>IF(VLOOKUP($A62,Data!$A$4:$I$81,9,FALSE)="PRI",G62*$G$2+H62*$H$2+I62*$I$2+J62*$J$2+K62*$K$2+L62*$L$2+M62*$M$2+N62*$N$2+O62*$O$2+P62*$P$2+Q62*$Q$2,G62*$G$3+H62*$H$3+I62*$I$3+J62*$J$3+K62*$K$3+L62*$L$3+M62*$M$3+N62*$N$3+O62*$O$3+P62*$P$3+Q62*$Q$3)</f>
        <v>0</v>
      </c>
      <c r="S62" s="145">
        <f>IF(VLOOKUP($A62,Data!$A$4:$I$81,9,FALSE)="PRI",G62*$G$4+H62*$H$4+I62*$I$4+J62*$J$4+K62*$K$4+L62*$L$4+M62*$M$4+N62*$N$4+O62*$O$4+P62*$P$4+Q62*$Q$4,G62*$G$5+H62*$H$5+I62*$I$5+J62*$J$5+K62*$K$5+L62*$L$5+M62*$M$5+N62*$N$5+O62*$O$5+P62*$P$5+Q62*$Q$5)</f>
        <v>0</v>
      </c>
      <c r="T62" s="229">
        <f>IFERROR(VLOOKUP(RIGHT($A62,4)*1,'Autumn term 2025'!$U$6:$X$16,3,FALSE),0)</f>
        <v>0</v>
      </c>
      <c r="U62" s="230">
        <f>IFERROR(VLOOKUP(RIGHT($A62,4)*1,'Autumn term 2025'!$U$6:$X$16,2,FALSE),0)</f>
        <v>0</v>
      </c>
      <c r="V62" s="231">
        <f>IF(VLOOKUP($A62,Data!$A$3:$I$81,9,FALSE)="Pri",T62*$T$2+U62*$U$2,T62*$T$3+U62*$U$3)</f>
        <v>0</v>
      </c>
      <c r="W62" s="232">
        <f>IF(VLOOKUP($A62,Data!$A$3:$I$81,9,FALSE)="Pri",T62*$T$4+U62*$U$4,T62*$T$5+U62*$U$5)</f>
        <v>0</v>
      </c>
      <c r="X62" s="235">
        <f t="shared" si="21"/>
        <v>0</v>
      </c>
      <c r="Y62" s="399">
        <f t="shared" si="22"/>
        <v>0</v>
      </c>
      <c r="Z62" s="234">
        <f t="shared" si="23"/>
        <v>0</v>
      </c>
      <c r="AA62" s="46">
        <f t="shared" si="24"/>
        <v>0</v>
      </c>
      <c r="AB62" s="400">
        <f t="shared" si="25"/>
        <v>0</v>
      </c>
      <c r="AC62" s="21">
        <f t="shared" si="26"/>
        <v>0</v>
      </c>
      <c r="AD62" s="11"/>
      <c r="AE62" s="11"/>
      <c r="AF62" s="146">
        <f>IFERROR(VLOOKUP(A62,'25-26 MFG'!A:D,3,FALSE),0)</f>
        <v>0</v>
      </c>
      <c r="AG62" s="75">
        <f>IFERROR(VLOOKUP(A62,'25-26 MFG'!A:D,4,FALSE),0)</f>
        <v>0</v>
      </c>
      <c r="AH62" s="224">
        <f t="shared" si="27"/>
        <v>0</v>
      </c>
    </row>
    <row r="63" spans="1:34">
      <c r="A63" s="8">
        <v>8504128</v>
      </c>
      <c r="B63" s="142" t="s">
        <v>31</v>
      </c>
      <c r="C63" s="16">
        <f>IFERROR(VLOOKUP(RIGHT($A63,4)*1,'Autumn term 2025'!$AA$6:$AM$57,12,FALSE),0)</f>
        <v>15</v>
      </c>
      <c r="D63" s="16">
        <f>SUMIF(APN!$A$3:$A$97,(RIGHT($A63,4)*1),APN!$K$3:$K$97)</f>
        <v>18.5</v>
      </c>
      <c r="E63" s="209">
        <f>D63*Values!$J$17</f>
        <v>111000</v>
      </c>
      <c r="F63" s="410">
        <f t="shared" si="20"/>
        <v>111000</v>
      </c>
      <c r="G63" s="402" cm="1">
        <f t="array" ref="G63">IFERROR(INDEX('Autumn term 2025'!$AB$6:$AM$55,_xlfn.XMATCH(RIGHT(MFG!$A63,4)*1,'Autumn term 2025'!$AA$6:$AA$55),_xlfn.XMATCH(MFG!G$7,'Autumn term 2025'!$AB$5:$AM$5)),0)</f>
        <v>0</v>
      </c>
      <c r="H63" s="403" cm="1">
        <f t="array" ref="H63">IFERROR(INDEX('Autumn term 2025'!$AB$6:$AM$55,_xlfn.XMATCH(RIGHT(MFG!$A63,4)*1,'Autumn term 2025'!$AA$6:$AA$55),_xlfn.XMATCH(MFG!H$7,'Autumn term 2025'!$AB$5:$AM$5)),0)</f>
        <v>0</v>
      </c>
      <c r="I63" s="403" cm="1">
        <f t="array" ref="I63">IFERROR(INDEX('Autumn term 2025'!$AB$6:$AM$55,_xlfn.XMATCH(RIGHT(MFG!$A63,4)*1,'Autumn term 2025'!$AA$6:$AA$55),_xlfn.XMATCH(MFG!I$7,'Autumn term 2025'!$AB$5:$AM$5)),0)</f>
        <v>0</v>
      </c>
      <c r="J63" s="403" cm="1">
        <f t="array" ref="J63">IFERROR(INDEX('Autumn term 2025'!$AB$6:$AM$55,_xlfn.XMATCH(RIGHT(MFG!$A63,4)*1,'Autumn term 2025'!$AA$6:$AA$55),_xlfn.XMATCH(MFG!J$7,'Autumn term 2025'!$AB$5:$AM$5)),0)</f>
        <v>0</v>
      </c>
      <c r="K63" s="403" cm="1">
        <f t="array" ref="K63">IFERROR(INDEX('Autumn term 2025'!$AB$6:$AM$55,_xlfn.XMATCH(RIGHT(MFG!$A63,4)*1,'Autumn term 2025'!$AA$6:$AA$55),_xlfn.XMATCH(MFG!K$7,'Autumn term 2025'!$AB$5:$AM$5)),0)</f>
        <v>0</v>
      </c>
      <c r="L63" s="403" cm="1">
        <f t="array" ref="L63">IFERROR(INDEX('Autumn term 2025'!$AB$6:$AM$55,_xlfn.XMATCH(RIGHT(MFG!$A63,4)*1,'Autumn term 2025'!$AA$6:$AA$55),_xlfn.XMATCH(MFG!L$7,'Autumn term 2025'!$AB$5:$AM$5)),0)</f>
        <v>2</v>
      </c>
      <c r="M63" s="403" cm="1">
        <f t="array" ref="M63">IFERROR(INDEX('Autumn term 2025'!$AB$6:$AM$55,_xlfn.XMATCH(RIGHT(MFG!$A63,4)*1,'Autumn term 2025'!$AA$6:$AA$55),_xlfn.XMATCH(MFG!M$7,'Autumn term 2025'!$AB$5:$AM$5)),0)</f>
        <v>13</v>
      </c>
      <c r="N63" s="403" cm="1">
        <f t="array" ref="N63">IFERROR(INDEX('Autumn term 2025'!$AB$6:$AM$55,_xlfn.XMATCH(RIGHT(MFG!$A63,4)*1,'Autumn term 2025'!$AA$6:$AA$55),_xlfn.XMATCH(MFG!N$7,'Autumn term 2025'!$AB$5:$AM$5)),0)</f>
        <v>0</v>
      </c>
      <c r="O63" s="403" cm="1">
        <f t="array" ref="O63">IFERROR(INDEX('Autumn term 2025'!$AB$6:$AM$55,_xlfn.XMATCH(RIGHT(MFG!$A63,4)*1,'Autumn term 2025'!$AA$6:$AA$55),_xlfn.XMATCH(MFG!O$7,'Autumn term 2025'!$AB$5:$AM$5)),0)</f>
        <v>0</v>
      </c>
      <c r="P63" s="403" cm="1">
        <f t="array" ref="P63">IFERROR(INDEX('Autumn term 2025'!$AB$6:$AM$55,_xlfn.XMATCH(RIGHT(MFG!$A63,4)*1,'Autumn term 2025'!$AA$6:$AA$55),_xlfn.XMATCH(MFG!P$7,'Autumn term 2025'!$AB$5:$AM$5)),0)</f>
        <v>0</v>
      </c>
      <c r="Q63" s="404" cm="1">
        <f t="array" ref="Q63">IFERROR(INDEX('Autumn term 2025'!$AB$6:$AM$55,_xlfn.XMATCH(RIGHT(MFG!$A63,4)*1,'Autumn term 2025'!$AA$6:$AA$55),_xlfn.XMATCH(MFG!Q$7,'Autumn term 2025'!$AB$5:$AM$5)),0)</f>
        <v>0</v>
      </c>
      <c r="R63" s="412">
        <f>IF(VLOOKUP($A63,Data!$A$4:$I$81,9,FALSE)="PRI",G63*$G$2+H63*$H$2+I63*$I$2+J63*$J$2+K63*$K$2+L63*$L$2+M63*$M$2+N63*$N$2+O63*$O$2+P63*$P$2+Q63*$Q$2,G63*$G$3+H63*$H$3+I63*$I$3+J63*$J$3+K63*$K$3+L63*$L$3+M63*$M$3+N63*$N$3+O63*$O$3+P63*$P$3+Q63*$Q$3)</f>
        <v>174424</v>
      </c>
      <c r="S63" s="145">
        <f>IF(VLOOKUP($A63,Data!$A$4:$I$81,9,FALSE)="PRI",G63*$G$4+H63*$H$4+I63*$I$4+J63*$J$4+K63*$K$4+L63*$L$4+M63*$M$4+N63*$N$4+O63*$O$4+P63*$P$4+Q63*$Q$4,G63*$G$5+H63*$H$5+I63*$I$5+J63*$J$5+K63*$K$5+L63*$L$5+M63*$M$5+N63*$N$5+O63*$O$5+P63*$P$5+Q63*$Q$5)</f>
        <v>179982</v>
      </c>
      <c r="T63" s="229">
        <f>IFERROR(VLOOKUP(RIGHT($A63,4)*1,'Autumn term 2025'!$U$6:$X$16,3,FALSE),0)</f>
        <v>0</v>
      </c>
      <c r="U63" s="230">
        <f>IFERROR(VLOOKUP(RIGHT($A63,4)*1,'Autumn term 2025'!$U$6:$X$16,2,FALSE),0)</f>
        <v>0</v>
      </c>
      <c r="V63" s="231">
        <f>IF(VLOOKUP($A63,Data!$A$3:$I$81,9,FALSE)="Pri",T63*$T$2+U63*$U$2,T63*$T$3+U63*$U$3)</f>
        <v>0</v>
      </c>
      <c r="W63" s="232">
        <f>IF(VLOOKUP($A63,Data!$A$3:$I$81,9,FALSE)="Pri",T63*$T$4+U63*$U$4,T63*$T$5+U63*$U$5)</f>
        <v>0</v>
      </c>
      <c r="X63" s="235">
        <f t="shared" si="21"/>
        <v>0</v>
      </c>
      <c r="Y63" s="399">
        <f t="shared" si="22"/>
        <v>285424</v>
      </c>
      <c r="Z63" s="234">
        <f t="shared" si="23"/>
        <v>285424</v>
      </c>
      <c r="AA63" s="46">
        <f t="shared" si="24"/>
        <v>290982</v>
      </c>
      <c r="AB63" s="400">
        <f t="shared" si="25"/>
        <v>0</v>
      </c>
      <c r="AC63" s="21">
        <f t="shared" si="26"/>
        <v>0</v>
      </c>
      <c r="AD63" s="11"/>
      <c r="AE63" s="11"/>
      <c r="AF63" s="146">
        <f>IFERROR(VLOOKUP(A63,'25-26 MFG'!A:D,3,FALSE),0)</f>
        <v>0</v>
      </c>
      <c r="AG63" s="75">
        <f>IFERROR(VLOOKUP(A63,'25-26 MFG'!A:D,4,FALSE),0)</f>
        <v>0</v>
      </c>
      <c r="AH63" s="224">
        <f t="shared" si="27"/>
        <v>0</v>
      </c>
    </row>
    <row r="64" spans="1:34">
      <c r="A64" s="8">
        <v>8504130</v>
      </c>
      <c r="B64" s="142" t="s">
        <v>174</v>
      </c>
      <c r="C64" s="16">
        <f>IFERROR(VLOOKUP(RIGHT($A64,4)*1,'Autumn term 2025'!$AA$6:$AM$57,12,FALSE),0)</f>
        <v>9.08</v>
      </c>
      <c r="D64" s="16">
        <f>SUMIF(APN!$A$3:$A$97,(RIGHT($A64,4)*1),APN!$K$3:$K$97)</f>
        <v>8.3333333333333321</v>
      </c>
      <c r="E64" s="209">
        <f>D64*Values!$J$17</f>
        <v>49999.999999999993</v>
      </c>
      <c r="F64" s="410">
        <f t="shared" si="20"/>
        <v>49999.999999999993</v>
      </c>
      <c r="G64" s="402" cm="1">
        <f t="array" ref="G64">IFERROR(INDEX('Autumn term 2025'!$AB$6:$AM$55,_xlfn.XMATCH(RIGHT(MFG!$A64,4)*1,'Autumn term 2025'!$AA$6:$AA$55),_xlfn.XMATCH(MFG!G$7,'Autumn term 2025'!$AB$5:$AM$5)),0)</f>
        <v>0</v>
      </c>
      <c r="H64" s="403" cm="1">
        <f t="array" ref="H64">IFERROR(INDEX('Autumn term 2025'!$AB$6:$AM$55,_xlfn.XMATCH(RIGHT(MFG!$A64,4)*1,'Autumn term 2025'!$AA$6:$AA$55),_xlfn.XMATCH(MFG!H$7,'Autumn term 2025'!$AB$5:$AM$5)),0)</f>
        <v>0</v>
      </c>
      <c r="I64" s="403" cm="1">
        <f t="array" ref="I64">IFERROR(INDEX('Autumn term 2025'!$AB$6:$AM$55,_xlfn.XMATCH(RIGHT(MFG!$A64,4)*1,'Autumn term 2025'!$AA$6:$AA$55),_xlfn.XMATCH(MFG!I$7,'Autumn term 2025'!$AB$5:$AM$5)),0)</f>
        <v>0</v>
      </c>
      <c r="J64" s="403" cm="1">
        <f t="array" ref="J64">IFERROR(INDEX('Autumn term 2025'!$AB$6:$AM$55,_xlfn.XMATCH(RIGHT(MFG!$A64,4)*1,'Autumn term 2025'!$AA$6:$AA$55),_xlfn.XMATCH(MFG!J$7,'Autumn term 2025'!$AB$5:$AM$5)),0)</f>
        <v>0</v>
      </c>
      <c r="K64" s="403" cm="1">
        <f t="array" ref="K64">IFERROR(INDEX('Autumn term 2025'!$AB$6:$AM$55,_xlfn.XMATCH(RIGHT(MFG!$A64,4)*1,'Autumn term 2025'!$AA$6:$AA$55),_xlfn.XMATCH(MFG!K$7,'Autumn term 2025'!$AB$5:$AM$5)),0)</f>
        <v>0</v>
      </c>
      <c r="L64" s="403" cm="1">
        <f t="array" ref="L64">IFERROR(INDEX('Autumn term 2025'!$AB$6:$AM$55,_xlfn.XMATCH(RIGHT(MFG!$A64,4)*1,'Autumn term 2025'!$AA$6:$AA$55),_xlfn.XMATCH(MFG!L$7,'Autumn term 2025'!$AB$5:$AM$5)),0)</f>
        <v>0</v>
      </c>
      <c r="M64" s="403" cm="1">
        <f t="array" ref="M64">IFERROR(INDEX('Autumn term 2025'!$AB$6:$AM$55,_xlfn.XMATCH(RIGHT(MFG!$A64,4)*1,'Autumn term 2025'!$AA$6:$AA$55),_xlfn.XMATCH(MFG!M$7,'Autumn term 2025'!$AB$5:$AM$5)),0)</f>
        <v>9.08</v>
      </c>
      <c r="N64" s="403" cm="1">
        <f t="array" ref="N64">IFERROR(INDEX('Autumn term 2025'!$AB$6:$AM$55,_xlfn.XMATCH(RIGHT(MFG!$A64,4)*1,'Autumn term 2025'!$AA$6:$AA$55),_xlfn.XMATCH(MFG!N$7,'Autumn term 2025'!$AB$5:$AM$5)),0)</f>
        <v>0</v>
      </c>
      <c r="O64" s="403" cm="1">
        <f t="array" ref="O64">IFERROR(INDEX('Autumn term 2025'!$AB$6:$AM$55,_xlfn.XMATCH(RIGHT(MFG!$A64,4)*1,'Autumn term 2025'!$AA$6:$AA$55),_xlfn.XMATCH(MFG!O$7,'Autumn term 2025'!$AB$5:$AM$5)),0)</f>
        <v>0</v>
      </c>
      <c r="P64" s="403" cm="1">
        <f t="array" ref="P64">IFERROR(INDEX('Autumn term 2025'!$AB$6:$AM$55,_xlfn.XMATCH(RIGHT(MFG!$A64,4)*1,'Autumn term 2025'!$AA$6:$AA$55),_xlfn.XMATCH(MFG!P$7,'Autumn term 2025'!$AB$5:$AM$5)),0)</f>
        <v>0</v>
      </c>
      <c r="Q64" s="404" cm="1">
        <f t="array" ref="Q64">IFERROR(INDEX('Autumn term 2025'!$AB$6:$AM$55,_xlfn.XMATCH(RIGHT(MFG!$A64,4)*1,'Autumn term 2025'!$AA$6:$AA$55),_xlfn.XMATCH(MFG!Q$7,'Autumn term 2025'!$AB$5:$AM$5)),0)</f>
        <v>0</v>
      </c>
      <c r="R64" s="412">
        <f>IF(VLOOKUP($A64,Data!$A$4:$I$81,9,FALSE)="PRI",G64*$G$2+H64*$H$2+I64*$I$2+J64*$J$2+K64*$K$2+L64*$L$2+M64*$M$2+N64*$N$2+O64*$O$2+P64*$P$2+Q64*$Q$2,G64*$G$3+H64*$H$3+I64*$I$3+J64*$J$3+K64*$K$3+L64*$L$3+M64*$M$3+N64*$N$3+O64*$O$3+P64*$P$3+Q64*$Q$3)</f>
        <v>101877.6</v>
      </c>
      <c r="S64" s="145">
        <f>IF(VLOOKUP($A64,Data!$A$4:$I$81,9,FALSE)="PRI",G64*$G$4+H64*$H$4+I64*$I$4+J64*$J$4+K64*$K$4+L64*$L$4+M64*$M$4+N64*$N$4+O64*$O$4+P64*$P$4+Q64*$Q$4,G64*$G$5+H64*$H$5+I64*$I$5+J64*$J$5+K64*$K$5+L64*$L$5+M64*$M$5+N64*$N$5+O64*$O$5+P64*$P$5+Q64*$Q$5)</f>
        <v>105164.56</v>
      </c>
      <c r="T64" s="229">
        <f>IFERROR(VLOOKUP(RIGHT($A64,4)*1,'Autumn term 2025'!$U$6:$X$16,3,FALSE),0)</f>
        <v>0</v>
      </c>
      <c r="U64" s="230">
        <f>IFERROR(VLOOKUP(RIGHT($A64,4)*1,'Autumn term 2025'!$U$6:$X$16,2,FALSE),0)</f>
        <v>0</v>
      </c>
      <c r="V64" s="231">
        <f>IF(VLOOKUP($A64,Data!$A$3:$I$81,9,FALSE)="Pri",T64*$T$2+U64*$U$2,T64*$T$3+U64*$U$3)</f>
        <v>0</v>
      </c>
      <c r="W64" s="232">
        <f>IF(VLOOKUP($A64,Data!$A$3:$I$81,9,FALSE)="Pri",T64*$T$4+U64*$U$4,T64*$T$5+U64*$U$5)</f>
        <v>0</v>
      </c>
      <c r="X64" s="235">
        <f t="shared" si="21"/>
        <v>0</v>
      </c>
      <c r="Y64" s="399">
        <f t="shared" si="22"/>
        <v>151877.6</v>
      </c>
      <c r="Z64" s="234">
        <f t="shared" si="23"/>
        <v>151877.6</v>
      </c>
      <c r="AA64" s="46">
        <f t="shared" si="24"/>
        <v>155164.56</v>
      </c>
      <c r="AB64" s="400">
        <f t="shared" si="25"/>
        <v>0</v>
      </c>
      <c r="AC64" s="21">
        <f t="shared" si="26"/>
        <v>0</v>
      </c>
      <c r="AD64" s="11"/>
      <c r="AE64" s="11"/>
      <c r="AF64" s="146">
        <f>IFERROR(VLOOKUP(A64,'25-26 MFG'!A:D,3,FALSE),0)</f>
        <v>0</v>
      </c>
      <c r="AG64" s="75">
        <f>IFERROR(VLOOKUP(A64,'25-26 MFG'!A:D,4,FALSE),0)</f>
        <v>0</v>
      </c>
      <c r="AH64" s="224">
        <f t="shared" si="27"/>
        <v>0</v>
      </c>
    </row>
    <row r="65" spans="1:34">
      <c r="A65" s="8">
        <v>8504133</v>
      </c>
      <c r="B65" s="142" t="s">
        <v>32</v>
      </c>
      <c r="C65" s="16">
        <f>IFERROR(VLOOKUP(RIGHT($A65,4)*1,'Autumn term 2025'!$AA$6:$AM$57,12,FALSE),0)</f>
        <v>9</v>
      </c>
      <c r="D65" s="16">
        <f>SUMIF(APN!$A$3:$A$97,(RIGHT($A65,4)*1),APN!$K$3:$K$97)</f>
        <v>15</v>
      </c>
      <c r="E65" s="209">
        <f>D65*Values!$J$17</f>
        <v>90000</v>
      </c>
      <c r="F65" s="410">
        <f t="shared" si="20"/>
        <v>90000</v>
      </c>
      <c r="G65" s="402" cm="1">
        <f t="array" ref="G65">IFERROR(INDEX('Autumn term 2025'!$AB$6:$AM$55,_xlfn.XMATCH(RIGHT(MFG!$A65,4)*1,'Autumn term 2025'!$AA$6:$AA$55),_xlfn.XMATCH(MFG!G$7,'Autumn term 2025'!$AB$5:$AM$5)),0)</f>
        <v>0</v>
      </c>
      <c r="H65" s="403" cm="1">
        <f t="array" ref="H65">IFERROR(INDEX('Autumn term 2025'!$AB$6:$AM$55,_xlfn.XMATCH(RIGHT(MFG!$A65,4)*1,'Autumn term 2025'!$AA$6:$AA$55),_xlfn.XMATCH(MFG!H$7,'Autumn term 2025'!$AB$5:$AM$5)),0)</f>
        <v>0</v>
      </c>
      <c r="I65" s="403" cm="1">
        <f t="array" ref="I65">IFERROR(INDEX('Autumn term 2025'!$AB$6:$AM$55,_xlfn.XMATCH(RIGHT(MFG!$A65,4)*1,'Autumn term 2025'!$AA$6:$AA$55),_xlfn.XMATCH(MFG!I$7,'Autumn term 2025'!$AB$5:$AM$5)),0)</f>
        <v>0</v>
      </c>
      <c r="J65" s="403" cm="1">
        <f t="array" ref="J65">IFERROR(INDEX('Autumn term 2025'!$AB$6:$AM$55,_xlfn.XMATCH(RIGHT(MFG!$A65,4)*1,'Autumn term 2025'!$AA$6:$AA$55),_xlfn.XMATCH(MFG!J$7,'Autumn term 2025'!$AB$5:$AM$5)),0)</f>
        <v>0</v>
      </c>
      <c r="K65" s="403" cm="1">
        <f t="array" ref="K65">IFERROR(INDEX('Autumn term 2025'!$AB$6:$AM$55,_xlfn.XMATCH(RIGHT(MFG!$A65,4)*1,'Autumn term 2025'!$AA$6:$AA$55),_xlfn.XMATCH(MFG!K$7,'Autumn term 2025'!$AB$5:$AM$5)),0)</f>
        <v>9</v>
      </c>
      <c r="L65" s="403" cm="1">
        <f t="array" ref="L65">IFERROR(INDEX('Autumn term 2025'!$AB$6:$AM$55,_xlfn.XMATCH(RIGHT(MFG!$A65,4)*1,'Autumn term 2025'!$AA$6:$AA$55),_xlfn.XMATCH(MFG!L$7,'Autumn term 2025'!$AB$5:$AM$5)),0)</f>
        <v>0</v>
      </c>
      <c r="M65" s="403" cm="1">
        <f t="array" ref="M65">IFERROR(INDEX('Autumn term 2025'!$AB$6:$AM$55,_xlfn.XMATCH(RIGHT(MFG!$A65,4)*1,'Autumn term 2025'!$AA$6:$AA$55),_xlfn.XMATCH(MFG!M$7,'Autumn term 2025'!$AB$5:$AM$5)),0)</f>
        <v>0</v>
      </c>
      <c r="N65" s="403" cm="1">
        <f t="array" ref="N65">IFERROR(INDEX('Autumn term 2025'!$AB$6:$AM$55,_xlfn.XMATCH(RIGHT(MFG!$A65,4)*1,'Autumn term 2025'!$AA$6:$AA$55),_xlfn.XMATCH(MFG!N$7,'Autumn term 2025'!$AB$5:$AM$5)),0)</f>
        <v>0</v>
      </c>
      <c r="O65" s="403" cm="1">
        <f t="array" ref="O65">IFERROR(INDEX('Autumn term 2025'!$AB$6:$AM$55,_xlfn.XMATCH(RIGHT(MFG!$A65,4)*1,'Autumn term 2025'!$AA$6:$AA$55),_xlfn.XMATCH(MFG!O$7,'Autumn term 2025'!$AB$5:$AM$5)),0)</f>
        <v>0</v>
      </c>
      <c r="P65" s="403" cm="1">
        <f t="array" ref="P65">IFERROR(INDEX('Autumn term 2025'!$AB$6:$AM$55,_xlfn.XMATCH(RIGHT(MFG!$A65,4)*1,'Autumn term 2025'!$AA$6:$AA$55),_xlfn.XMATCH(MFG!P$7,'Autumn term 2025'!$AB$5:$AM$5)),0)</f>
        <v>0</v>
      </c>
      <c r="Q65" s="404" cm="1">
        <f t="array" ref="Q65">IFERROR(INDEX('Autumn term 2025'!$AB$6:$AM$55,_xlfn.XMATCH(RIGHT(MFG!$A65,4)*1,'Autumn term 2025'!$AA$6:$AA$55),_xlfn.XMATCH(MFG!Q$7,'Autumn term 2025'!$AB$5:$AM$5)),0)</f>
        <v>0</v>
      </c>
      <c r="R65" s="412">
        <f>IF(VLOOKUP($A65,Data!$A$4:$I$81,9,FALSE)="PRI",G65*$G$2+H65*$H$2+I65*$I$2+J65*$J$2+K65*$K$2+L65*$L$2+M65*$M$2+N65*$N$2+O65*$O$2+P65*$P$2+Q65*$Q$2,G65*$G$3+H65*$H$3+I65*$I$3+J65*$J$3+K65*$K$3+L65*$L$3+M65*$M$3+N65*$N$3+O65*$O$3+P65*$P$3+Q65*$Q$3)</f>
        <v>102933</v>
      </c>
      <c r="S65" s="145">
        <f>IF(VLOOKUP($A65,Data!$A$4:$I$81,9,FALSE)="PRI",G65*$G$4+H65*$H$4+I65*$I$4+J65*$J$4+K65*$K$4+L65*$L$4+M65*$M$4+N65*$N$4+O65*$O$4+P65*$P$4+Q65*$Q$4,G65*$G$5+H65*$H$5+I65*$I$5+J65*$J$5+K65*$K$5+L65*$L$5+M65*$M$5+N65*$N$5+O65*$O$5+P65*$P$5+Q65*$Q$5)</f>
        <v>106236</v>
      </c>
      <c r="T65" s="229">
        <f>IFERROR(VLOOKUP(RIGHT($A65,4)*1,'Autumn term 2025'!$U$6:$X$16,3,FALSE),0)</f>
        <v>0</v>
      </c>
      <c r="U65" s="230">
        <f>IFERROR(VLOOKUP(RIGHT($A65,4)*1,'Autumn term 2025'!$U$6:$X$16,2,FALSE),0)</f>
        <v>0</v>
      </c>
      <c r="V65" s="231">
        <f>IF(VLOOKUP($A65,Data!$A$3:$I$81,9,FALSE)="Pri",T65*$T$2+U65*$U$2,T65*$T$3+U65*$U$3)</f>
        <v>0</v>
      </c>
      <c r="W65" s="232">
        <f>IF(VLOOKUP($A65,Data!$A$3:$I$81,9,FALSE)="Pri",T65*$T$4+U65*$U$4,T65*$T$5+U65*$U$5)</f>
        <v>0</v>
      </c>
      <c r="X65" s="235">
        <f t="shared" si="21"/>
        <v>0</v>
      </c>
      <c r="Y65" s="399">
        <f t="shared" si="22"/>
        <v>192933</v>
      </c>
      <c r="Z65" s="234">
        <f t="shared" si="23"/>
        <v>192933</v>
      </c>
      <c r="AA65" s="46">
        <f t="shared" si="24"/>
        <v>196236</v>
      </c>
      <c r="AB65" s="400">
        <f t="shared" si="25"/>
        <v>0</v>
      </c>
      <c r="AC65" s="21">
        <f t="shared" si="26"/>
        <v>0</v>
      </c>
      <c r="AD65" s="11"/>
      <c r="AE65" s="11"/>
      <c r="AF65" s="146">
        <f>IFERROR(VLOOKUP(A65,'25-26 MFG'!A:D,3,FALSE),0)</f>
        <v>0</v>
      </c>
      <c r="AG65" s="75">
        <f>IFERROR(VLOOKUP(A65,'25-26 MFG'!A:D,4,FALSE),0)</f>
        <v>0</v>
      </c>
      <c r="AH65" s="224">
        <f t="shared" si="27"/>
        <v>0</v>
      </c>
    </row>
    <row r="66" spans="1:34">
      <c r="A66" s="8">
        <v>8504143</v>
      </c>
      <c r="B66" s="142" t="s">
        <v>33</v>
      </c>
      <c r="C66" s="16">
        <f>IFERROR(VLOOKUP(RIGHT($A66,4)*1,'Autumn term 2025'!$AA$6:$AM$57,12,FALSE),0)</f>
        <v>17</v>
      </c>
      <c r="D66" s="16">
        <f>SUMIF(APN!$A$3:$A$97,(RIGHT($A66,4)*1),APN!$K$3:$K$97)</f>
        <v>12</v>
      </c>
      <c r="E66" s="209">
        <f>D66*Values!$J$17</f>
        <v>72000</v>
      </c>
      <c r="F66" s="410">
        <f t="shared" si="20"/>
        <v>72000</v>
      </c>
      <c r="G66" s="402" cm="1">
        <f t="array" ref="G66">IFERROR(INDEX('Autumn term 2025'!$AB$6:$AM$55,_xlfn.XMATCH(RIGHT(MFG!$A66,4)*1,'Autumn term 2025'!$AA$6:$AA$55),_xlfn.XMATCH(MFG!G$7,'Autumn term 2025'!$AB$5:$AM$5)),0)</f>
        <v>17</v>
      </c>
      <c r="H66" s="403" cm="1">
        <f t="array" ref="H66">IFERROR(INDEX('Autumn term 2025'!$AB$6:$AM$55,_xlfn.XMATCH(RIGHT(MFG!$A66,4)*1,'Autumn term 2025'!$AA$6:$AA$55),_xlfn.XMATCH(MFG!H$7,'Autumn term 2025'!$AB$5:$AM$5)),0)</f>
        <v>0</v>
      </c>
      <c r="I66" s="403" cm="1">
        <f t="array" ref="I66">IFERROR(INDEX('Autumn term 2025'!$AB$6:$AM$55,_xlfn.XMATCH(RIGHT(MFG!$A66,4)*1,'Autumn term 2025'!$AA$6:$AA$55),_xlfn.XMATCH(MFG!I$7,'Autumn term 2025'!$AB$5:$AM$5)),0)</f>
        <v>0</v>
      </c>
      <c r="J66" s="403" cm="1">
        <f t="array" ref="J66">IFERROR(INDEX('Autumn term 2025'!$AB$6:$AM$55,_xlfn.XMATCH(RIGHT(MFG!$A66,4)*1,'Autumn term 2025'!$AA$6:$AA$55),_xlfn.XMATCH(MFG!J$7,'Autumn term 2025'!$AB$5:$AM$5)),0)</f>
        <v>0</v>
      </c>
      <c r="K66" s="403" cm="1">
        <f t="array" ref="K66">IFERROR(INDEX('Autumn term 2025'!$AB$6:$AM$55,_xlfn.XMATCH(RIGHT(MFG!$A66,4)*1,'Autumn term 2025'!$AA$6:$AA$55),_xlfn.XMATCH(MFG!K$7,'Autumn term 2025'!$AB$5:$AM$5)),0)</f>
        <v>0</v>
      </c>
      <c r="L66" s="403" cm="1">
        <f t="array" ref="L66">IFERROR(INDEX('Autumn term 2025'!$AB$6:$AM$55,_xlfn.XMATCH(RIGHT(MFG!$A66,4)*1,'Autumn term 2025'!$AA$6:$AA$55),_xlfn.XMATCH(MFG!L$7,'Autumn term 2025'!$AB$5:$AM$5)),0)</f>
        <v>0</v>
      </c>
      <c r="M66" s="403" cm="1">
        <f t="array" ref="M66">IFERROR(INDEX('Autumn term 2025'!$AB$6:$AM$55,_xlfn.XMATCH(RIGHT(MFG!$A66,4)*1,'Autumn term 2025'!$AA$6:$AA$55),_xlfn.XMATCH(MFG!M$7,'Autumn term 2025'!$AB$5:$AM$5)),0)</f>
        <v>0</v>
      </c>
      <c r="N66" s="403" cm="1">
        <f t="array" ref="N66">IFERROR(INDEX('Autumn term 2025'!$AB$6:$AM$55,_xlfn.XMATCH(RIGHT(MFG!$A66,4)*1,'Autumn term 2025'!$AA$6:$AA$55),_xlfn.XMATCH(MFG!N$7,'Autumn term 2025'!$AB$5:$AM$5)),0)</f>
        <v>0</v>
      </c>
      <c r="O66" s="403" cm="1">
        <f t="array" ref="O66">IFERROR(INDEX('Autumn term 2025'!$AB$6:$AM$55,_xlfn.XMATCH(RIGHT(MFG!$A66,4)*1,'Autumn term 2025'!$AA$6:$AA$55),_xlfn.XMATCH(MFG!O$7,'Autumn term 2025'!$AB$5:$AM$5)),0)</f>
        <v>0</v>
      </c>
      <c r="P66" s="403" cm="1">
        <f t="array" ref="P66">IFERROR(INDEX('Autumn term 2025'!$AB$6:$AM$55,_xlfn.XMATCH(RIGHT(MFG!$A66,4)*1,'Autumn term 2025'!$AA$6:$AA$55),_xlfn.XMATCH(MFG!P$7,'Autumn term 2025'!$AB$5:$AM$5)),0)</f>
        <v>0</v>
      </c>
      <c r="Q66" s="404" cm="1">
        <f t="array" ref="Q66">IFERROR(INDEX('Autumn term 2025'!$AB$6:$AM$55,_xlfn.XMATCH(RIGHT(MFG!$A66,4)*1,'Autumn term 2025'!$AA$6:$AA$55),_xlfn.XMATCH(MFG!Q$7,'Autumn term 2025'!$AB$5:$AM$5)),0)</f>
        <v>0</v>
      </c>
      <c r="R66" s="412">
        <f>IF(VLOOKUP($A66,Data!$A$4:$I$81,9,FALSE)="PRI",G66*$G$2+H66*$H$2+I66*$I$2+J66*$J$2+K66*$K$2+L66*$L$2+M66*$M$2+N66*$N$2+O66*$O$2+P66*$P$2+Q66*$Q$2,G66*$G$3+H66*$H$3+I66*$I$3+J66*$J$3+K66*$K$3+L66*$L$3+M66*$M$3+N66*$N$3+O66*$O$3+P66*$P$3+Q66*$Q$3)</f>
        <v>168504</v>
      </c>
      <c r="S66" s="145">
        <f>IF(VLOOKUP($A66,Data!$A$4:$I$81,9,FALSE)="PRI",G66*$G$4+H66*$H$4+I66*$I$4+J66*$J$4+K66*$K$4+L66*$L$4+M66*$M$4+N66*$N$4+O66*$O$4+P66*$P$4+Q66*$Q$4,G66*$G$5+H66*$H$5+I66*$I$5+J66*$J$5+K66*$K$5+L66*$L$5+M66*$M$5+N66*$N$5+O66*$O$5+P66*$P$5+Q66*$Q$5)</f>
        <v>174199</v>
      </c>
      <c r="T66" s="229">
        <f>IFERROR(VLOOKUP(RIGHT($A66,4)*1,'Autumn term 2025'!$U$6:$X$16,3,FALSE),0)</f>
        <v>0</v>
      </c>
      <c r="U66" s="230">
        <f>IFERROR(VLOOKUP(RIGHT($A66,4)*1,'Autumn term 2025'!$U$6:$X$16,2,FALSE),0)</f>
        <v>0</v>
      </c>
      <c r="V66" s="231">
        <f>IF(VLOOKUP($A66,Data!$A$3:$I$81,9,FALSE)="Pri",T66*$T$2+U66*$U$2,T66*$T$3+U66*$U$3)</f>
        <v>0</v>
      </c>
      <c r="W66" s="232">
        <f>IF(VLOOKUP($A66,Data!$A$3:$I$81,9,FALSE)="Pri",T66*$T$4+U66*$U$4,T66*$T$5+U66*$U$5)</f>
        <v>0</v>
      </c>
      <c r="X66" s="235">
        <f t="shared" si="21"/>
        <v>0</v>
      </c>
      <c r="Y66" s="399">
        <f t="shared" si="22"/>
        <v>240504</v>
      </c>
      <c r="Z66" s="234">
        <f t="shared" si="23"/>
        <v>240504</v>
      </c>
      <c r="AA66" s="46">
        <f t="shared" si="24"/>
        <v>246199</v>
      </c>
      <c r="AB66" s="400">
        <f t="shared" si="25"/>
        <v>0</v>
      </c>
      <c r="AC66" s="21">
        <f t="shared" si="26"/>
        <v>0</v>
      </c>
      <c r="AD66" s="11"/>
      <c r="AE66" s="11"/>
      <c r="AF66" s="146">
        <f>IFERROR(VLOOKUP(A66,'25-26 MFG'!A:D,3,FALSE),0)</f>
        <v>0</v>
      </c>
      <c r="AG66" s="75">
        <f>IFERROR(VLOOKUP(A66,'25-26 MFG'!A:D,4,FALSE),0)</f>
        <v>0</v>
      </c>
      <c r="AH66" s="224">
        <f t="shared" si="27"/>
        <v>0</v>
      </c>
    </row>
    <row r="67" spans="1:34">
      <c r="A67" s="8">
        <v>8504159</v>
      </c>
      <c r="B67" s="142" t="s">
        <v>175</v>
      </c>
      <c r="C67" s="16">
        <f>IFERROR(VLOOKUP(RIGHT($A67,4)*1,'Autumn term 2025'!$AA$6:$AM$57,12,FALSE),0)</f>
        <v>5</v>
      </c>
      <c r="D67" s="16">
        <f>SUMIF(APN!$A$3:$A$97,(RIGHT($A67,4)*1),APN!$K$3:$K$97)</f>
        <v>2.9166666666666665</v>
      </c>
      <c r="E67" s="209">
        <f>D67*Values!$J$17</f>
        <v>17500</v>
      </c>
      <c r="F67" s="410">
        <f t="shared" si="20"/>
        <v>17500</v>
      </c>
      <c r="G67" s="402" cm="1">
        <f t="array" ref="G67">IFERROR(INDEX('Autumn term 2025'!$AB$6:$AM$55,_xlfn.XMATCH(RIGHT(MFG!$A67,4)*1,'Autumn term 2025'!$AA$6:$AA$55),_xlfn.XMATCH(MFG!G$7,'Autumn term 2025'!$AB$5:$AM$5)),0)</f>
        <v>0</v>
      </c>
      <c r="H67" s="403" cm="1">
        <f t="array" ref="H67">IFERROR(INDEX('Autumn term 2025'!$AB$6:$AM$55,_xlfn.XMATCH(RIGHT(MFG!$A67,4)*1,'Autumn term 2025'!$AA$6:$AA$55),_xlfn.XMATCH(MFG!H$7,'Autumn term 2025'!$AB$5:$AM$5)),0)</f>
        <v>0</v>
      </c>
      <c r="I67" s="403" cm="1">
        <f t="array" ref="I67">IFERROR(INDEX('Autumn term 2025'!$AB$6:$AM$55,_xlfn.XMATCH(RIGHT(MFG!$A67,4)*1,'Autumn term 2025'!$AA$6:$AA$55),_xlfn.XMATCH(MFG!I$7,'Autumn term 2025'!$AB$5:$AM$5)),0)</f>
        <v>0</v>
      </c>
      <c r="J67" s="403" cm="1">
        <f t="array" ref="J67">IFERROR(INDEX('Autumn term 2025'!$AB$6:$AM$55,_xlfn.XMATCH(RIGHT(MFG!$A67,4)*1,'Autumn term 2025'!$AA$6:$AA$55),_xlfn.XMATCH(MFG!J$7,'Autumn term 2025'!$AB$5:$AM$5)),0)</f>
        <v>0</v>
      </c>
      <c r="K67" s="403" cm="1">
        <f t="array" ref="K67">IFERROR(INDEX('Autumn term 2025'!$AB$6:$AM$55,_xlfn.XMATCH(RIGHT(MFG!$A67,4)*1,'Autumn term 2025'!$AA$6:$AA$55),_xlfn.XMATCH(MFG!K$7,'Autumn term 2025'!$AB$5:$AM$5)),0)</f>
        <v>0</v>
      </c>
      <c r="L67" s="403" cm="1">
        <f t="array" ref="L67">IFERROR(INDEX('Autumn term 2025'!$AB$6:$AM$55,_xlfn.XMATCH(RIGHT(MFG!$A67,4)*1,'Autumn term 2025'!$AA$6:$AA$55),_xlfn.XMATCH(MFG!L$7,'Autumn term 2025'!$AB$5:$AM$5)),0)</f>
        <v>0</v>
      </c>
      <c r="M67" s="403" cm="1">
        <f t="array" ref="M67">IFERROR(INDEX('Autumn term 2025'!$AB$6:$AM$55,_xlfn.XMATCH(RIGHT(MFG!$A67,4)*1,'Autumn term 2025'!$AA$6:$AA$55),_xlfn.XMATCH(MFG!M$7,'Autumn term 2025'!$AB$5:$AM$5)),0)</f>
        <v>0</v>
      </c>
      <c r="N67" s="403" cm="1">
        <f t="array" ref="N67">IFERROR(INDEX('Autumn term 2025'!$AB$6:$AM$55,_xlfn.XMATCH(RIGHT(MFG!$A67,4)*1,'Autumn term 2025'!$AA$6:$AA$55),_xlfn.XMATCH(MFG!N$7,'Autumn term 2025'!$AB$5:$AM$5)),0)</f>
        <v>0</v>
      </c>
      <c r="O67" s="403" cm="1">
        <f t="array" ref="O67">IFERROR(INDEX('Autumn term 2025'!$AB$6:$AM$55,_xlfn.XMATCH(RIGHT(MFG!$A67,4)*1,'Autumn term 2025'!$AA$6:$AA$55),_xlfn.XMATCH(MFG!O$7,'Autumn term 2025'!$AB$5:$AM$5)),0)</f>
        <v>0</v>
      </c>
      <c r="P67" s="403" cm="1">
        <f t="array" ref="P67">IFERROR(INDEX('Autumn term 2025'!$AB$6:$AM$55,_xlfn.XMATCH(RIGHT(MFG!$A67,4)*1,'Autumn term 2025'!$AA$6:$AA$55),_xlfn.XMATCH(MFG!P$7,'Autumn term 2025'!$AB$5:$AM$5)),0)</f>
        <v>0</v>
      </c>
      <c r="Q67" s="404" cm="1">
        <f t="array" ref="Q67">IFERROR(INDEX('Autumn term 2025'!$AB$6:$AM$55,_xlfn.XMATCH(RIGHT(MFG!$A67,4)*1,'Autumn term 2025'!$AA$6:$AA$55),_xlfn.XMATCH(MFG!Q$7,'Autumn term 2025'!$AB$5:$AM$5)),0)</f>
        <v>0</v>
      </c>
      <c r="R67" s="412">
        <f>IF(VLOOKUP($A67,Data!$A$4:$I$81,9,FALSE)="PRI",G67*$G$2+H67*$H$2+I67*$I$2+J67*$J$2+K67*$K$2+L67*$L$2+M67*$M$2+N67*$N$2+O67*$O$2+P67*$P$2+Q67*$Q$2,G67*$G$3+H67*$H$3+I67*$I$3+J67*$J$3+K67*$K$3+L67*$L$3+M67*$M$3+N67*$N$3+O67*$O$3+P67*$P$3+Q67*$Q$3)</f>
        <v>0</v>
      </c>
      <c r="S67" s="145">
        <f>IF(VLOOKUP($A67,Data!$A$4:$I$81,9,FALSE)="PRI",G67*$G$4+H67*$H$4+I67*$I$4+J67*$J$4+K67*$K$4+L67*$L$4+M67*$M$4+N67*$N$4+O67*$O$4+P67*$P$4+Q67*$Q$4,G67*$G$5+H67*$H$5+I67*$I$5+J67*$J$5+K67*$K$5+L67*$L$5+M67*$M$5+N67*$N$5+O67*$O$5+P67*$P$5+Q67*$Q$5)</f>
        <v>0</v>
      </c>
      <c r="T67" s="229">
        <f>IFERROR(VLOOKUP(RIGHT($A67,4)*1,'Autumn term 2025'!$U$6:$X$16,3,FALSE),0)</f>
        <v>0</v>
      </c>
      <c r="U67" s="230">
        <f>IFERROR(VLOOKUP(RIGHT($A67,4)*1,'Autumn term 2025'!$U$6:$X$16,2,FALSE),0)</f>
        <v>0</v>
      </c>
      <c r="V67" s="231">
        <f>IF(VLOOKUP($A67,Data!$A$3:$I$81,9,FALSE)="Pri",T67*$T$2+U67*$U$2,T67*$T$3+U67*$U$3)</f>
        <v>0</v>
      </c>
      <c r="W67" s="232">
        <f>IF(VLOOKUP($A67,Data!$A$3:$I$81,9,FALSE)="Pri",T67*$T$4+U67*$U$4,T67*$T$5+U67*$U$5)</f>
        <v>0</v>
      </c>
      <c r="X67" s="235">
        <f t="shared" si="21"/>
        <v>0</v>
      </c>
      <c r="Y67" s="399">
        <f t="shared" si="22"/>
        <v>17500</v>
      </c>
      <c r="Z67" s="234">
        <f t="shared" si="23"/>
        <v>17500</v>
      </c>
      <c r="AA67" s="46">
        <f t="shared" si="24"/>
        <v>17500</v>
      </c>
      <c r="AB67" s="400">
        <f t="shared" si="25"/>
        <v>0</v>
      </c>
      <c r="AC67" s="21">
        <f t="shared" si="26"/>
        <v>0</v>
      </c>
      <c r="AD67" s="11"/>
      <c r="AE67" s="11"/>
      <c r="AF67" s="146">
        <f>IFERROR(VLOOKUP(A67,'25-26 MFG'!A:D,3,FALSE),0)</f>
        <v>0</v>
      </c>
      <c r="AG67" s="75">
        <f>IFERROR(VLOOKUP(A67,'25-26 MFG'!A:D,4,FALSE),0)</f>
        <v>0</v>
      </c>
      <c r="AH67" s="224">
        <f t="shared" si="27"/>
        <v>0</v>
      </c>
    </row>
    <row r="68" spans="1:34">
      <c r="A68" s="8">
        <v>8504163</v>
      </c>
      <c r="B68" s="142" t="s">
        <v>176</v>
      </c>
      <c r="C68" s="16">
        <f>IFERROR(VLOOKUP(RIGHT($A68,4)*1,'Autumn term 2025'!$AA$6:$AM$57,12,FALSE),0)</f>
        <v>0</v>
      </c>
      <c r="D68" s="16">
        <f>SUMIF(APN!$A$3:$A$97,(RIGHT($A68,4)*1),APN!$K$3:$K$97)</f>
        <v>0</v>
      </c>
      <c r="E68" s="209">
        <f>D68*Values!$J$17</f>
        <v>0</v>
      </c>
      <c r="F68" s="410">
        <f t="shared" si="20"/>
        <v>0</v>
      </c>
      <c r="G68" s="402" cm="1">
        <f t="array" ref="G68">IFERROR(INDEX('Autumn term 2025'!$AB$6:$AM$55,_xlfn.XMATCH(RIGHT(MFG!$A68,4)*1,'Autumn term 2025'!$AA$6:$AA$55),_xlfn.XMATCH(MFG!G$7,'Autumn term 2025'!$AB$5:$AM$5)),0)</f>
        <v>0</v>
      </c>
      <c r="H68" s="403" cm="1">
        <f t="array" ref="H68">IFERROR(INDEX('Autumn term 2025'!$AB$6:$AM$55,_xlfn.XMATCH(RIGHT(MFG!$A68,4)*1,'Autumn term 2025'!$AA$6:$AA$55),_xlfn.XMATCH(MFG!H$7,'Autumn term 2025'!$AB$5:$AM$5)),0)</f>
        <v>0</v>
      </c>
      <c r="I68" s="403" cm="1">
        <f t="array" ref="I68">IFERROR(INDEX('Autumn term 2025'!$AB$6:$AM$55,_xlfn.XMATCH(RIGHT(MFG!$A68,4)*1,'Autumn term 2025'!$AA$6:$AA$55),_xlfn.XMATCH(MFG!I$7,'Autumn term 2025'!$AB$5:$AM$5)),0)</f>
        <v>0</v>
      </c>
      <c r="J68" s="403" cm="1">
        <f t="array" ref="J68">IFERROR(INDEX('Autumn term 2025'!$AB$6:$AM$55,_xlfn.XMATCH(RIGHT(MFG!$A68,4)*1,'Autumn term 2025'!$AA$6:$AA$55),_xlfn.XMATCH(MFG!J$7,'Autumn term 2025'!$AB$5:$AM$5)),0)</f>
        <v>0</v>
      </c>
      <c r="K68" s="403" cm="1">
        <f t="array" ref="K68">IFERROR(INDEX('Autumn term 2025'!$AB$6:$AM$55,_xlfn.XMATCH(RIGHT(MFG!$A68,4)*1,'Autumn term 2025'!$AA$6:$AA$55),_xlfn.XMATCH(MFG!K$7,'Autumn term 2025'!$AB$5:$AM$5)),0)</f>
        <v>0</v>
      </c>
      <c r="L68" s="403" cm="1">
        <f t="array" ref="L68">IFERROR(INDEX('Autumn term 2025'!$AB$6:$AM$55,_xlfn.XMATCH(RIGHT(MFG!$A68,4)*1,'Autumn term 2025'!$AA$6:$AA$55),_xlfn.XMATCH(MFG!L$7,'Autumn term 2025'!$AB$5:$AM$5)),0)</f>
        <v>0</v>
      </c>
      <c r="M68" s="403" cm="1">
        <f t="array" ref="M68">IFERROR(INDEX('Autumn term 2025'!$AB$6:$AM$55,_xlfn.XMATCH(RIGHT(MFG!$A68,4)*1,'Autumn term 2025'!$AA$6:$AA$55),_xlfn.XMATCH(MFG!M$7,'Autumn term 2025'!$AB$5:$AM$5)),0)</f>
        <v>0</v>
      </c>
      <c r="N68" s="403" cm="1">
        <f t="array" ref="N68">IFERROR(INDEX('Autumn term 2025'!$AB$6:$AM$55,_xlfn.XMATCH(RIGHT(MFG!$A68,4)*1,'Autumn term 2025'!$AA$6:$AA$55),_xlfn.XMATCH(MFG!N$7,'Autumn term 2025'!$AB$5:$AM$5)),0)</f>
        <v>0</v>
      </c>
      <c r="O68" s="403" cm="1">
        <f t="array" ref="O68">IFERROR(INDEX('Autumn term 2025'!$AB$6:$AM$55,_xlfn.XMATCH(RIGHT(MFG!$A68,4)*1,'Autumn term 2025'!$AA$6:$AA$55),_xlfn.XMATCH(MFG!O$7,'Autumn term 2025'!$AB$5:$AM$5)),0)</f>
        <v>0</v>
      </c>
      <c r="P68" s="403" cm="1">
        <f t="array" ref="P68">IFERROR(INDEX('Autumn term 2025'!$AB$6:$AM$55,_xlfn.XMATCH(RIGHT(MFG!$A68,4)*1,'Autumn term 2025'!$AA$6:$AA$55),_xlfn.XMATCH(MFG!P$7,'Autumn term 2025'!$AB$5:$AM$5)),0)</f>
        <v>0</v>
      </c>
      <c r="Q68" s="404" cm="1">
        <f t="array" ref="Q68">IFERROR(INDEX('Autumn term 2025'!$AB$6:$AM$55,_xlfn.XMATCH(RIGHT(MFG!$A68,4)*1,'Autumn term 2025'!$AA$6:$AA$55),_xlfn.XMATCH(MFG!Q$7,'Autumn term 2025'!$AB$5:$AM$5)),0)</f>
        <v>0</v>
      </c>
      <c r="R68" s="412">
        <f>IF(VLOOKUP($A68,Data!$A$4:$I$81,9,FALSE)="PRI",G68*$G$2+H68*$H$2+I68*$I$2+J68*$J$2+K68*$K$2+L68*$L$2+M68*$M$2+N68*$N$2+O68*$O$2+P68*$P$2+Q68*$Q$2,G68*$G$3+H68*$H$3+I68*$I$3+J68*$J$3+K68*$K$3+L68*$L$3+M68*$M$3+N68*$N$3+O68*$O$3+P68*$P$3+Q68*$Q$3)</f>
        <v>0</v>
      </c>
      <c r="S68" s="145">
        <f>IF(VLOOKUP($A68,Data!$A$4:$I$81,9,FALSE)="PRI",G68*$G$4+H68*$H$4+I68*$I$4+J68*$J$4+K68*$K$4+L68*$L$4+M68*$M$4+N68*$N$4+O68*$O$4+P68*$P$4+Q68*$Q$4,G68*$G$5+H68*$H$5+I68*$I$5+J68*$J$5+K68*$K$5+L68*$L$5+M68*$M$5+N68*$N$5+O68*$O$5+P68*$P$5+Q68*$Q$5)</f>
        <v>0</v>
      </c>
      <c r="T68" s="229">
        <f>IFERROR(VLOOKUP(RIGHT($A68,4)*1,'Autumn term 2025'!$U$6:$X$16,3,FALSE),0)</f>
        <v>0</v>
      </c>
      <c r="U68" s="230">
        <f>IFERROR(VLOOKUP(RIGHT($A68,4)*1,'Autumn term 2025'!$U$6:$X$16,2,FALSE),0)</f>
        <v>0</v>
      </c>
      <c r="V68" s="231">
        <f>IF(VLOOKUP($A68,Data!$A$3:$I$81,9,FALSE)="Pri",T68*$T$2+U68*$U$2,T68*$T$3+U68*$U$3)</f>
        <v>0</v>
      </c>
      <c r="W68" s="232">
        <f>IF(VLOOKUP($A68,Data!$A$3:$I$81,9,FALSE)="Pri",T68*$T$4+U68*$U$4,T68*$T$5+U68*$U$5)</f>
        <v>0</v>
      </c>
      <c r="X68" s="235">
        <f t="shared" si="21"/>
        <v>0</v>
      </c>
      <c r="Y68" s="399">
        <f t="shared" si="22"/>
        <v>0</v>
      </c>
      <c r="Z68" s="234">
        <f t="shared" si="23"/>
        <v>0</v>
      </c>
      <c r="AA68" s="46">
        <f t="shared" si="24"/>
        <v>0</v>
      </c>
      <c r="AB68" s="400">
        <f t="shared" si="25"/>
        <v>0</v>
      </c>
      <c r="AC68" s="21">
        <f t="shared" si="26"/>
        <v>0</v>
      </c>
      <c r="AD68" s="11"/>
      <c r="AE68" s="11"/>
      <c r="AF68" s="146">
        <f>IFERROR(VLOOKUP(A68,'25-26 MFG'!A:D,3,FALSE),0)</f>
        <v>0</v>
      </c>
      <c r="AG68" s="75">
        <f>IFERROR(VLOOKUP(A68,'25-26 MFG'!A:D,4,FALSE),0)</f>
        <v>0</v>
      </c>
      <c r="AH68" s="224">
        <f t="shared" si="27"/>
        <v>0</v>
      </c>
    </row>
    <row r="69" spans="1:34">
      <c r="A69" s="8">
        <v>8504173</v>
      </c>
      <c r="B69" s="5" t="s">
        <v>34</v>
      </c>
      <c r="C69" s="16">
        <f>IFERROR(VLOOKUP(RIGHT($A69,4)*1,'Autumn term 2025'!$AA$6:$AM$57,12,FALSE),0)</f>
        <v>17</v>
      </c>
      <c r="D69" s="16">
        <f>SUMIF(APN!$A$3:$A$97,(RIGHT($A69,4)*1),APN!$K$3:$K$97)</f>
        <v>18.5</v>
      </c>
      <c r="E69" s="209">
        <f>D69*Values!$J$17</f>
        <v>111000</v>
      </c>
      <c r="F69" s="410">
        <f t="shared" si="20"/>
        <v>111000</v>
      </c>
      <c r="G69" s="402" cm="1">
        <f t="array" ref="G69">IFERROR(INDEX('Autumn term 2025'!$AB$6:$AM$55,_xlfn.XMATCH(RIGHT(MFG!$A69,4)*1,'Autumn term 2025'!$AA$6:$AA$55),_xlfn.XMATCH(MFG!G$7,'Autumn term 2025'!$AB$5:$AM$5)),0)</f>
        <v>17</v>
      </c>
      <c r="H69" s="403" cm="1">
        <f t="array" ref="H69">IFERROR(INDEX('Autumn term 2025'!$AB$6:$AM$55,_xlfn.XMATCH(RIGHT(MFG!$A69,4)*1,'Autumn term 2025'!$AA$6:$AA$55),_xlfn.XMATCH(MFG!H$7,'Autumn term 2025'!$AB$5:$AM$5)),0)</f>
        <v>0</v>
      </c>
      <c r="I69" s="403" cm="1">
        <f t="array" ref="I69">IFERROR(INDEX('Autumn term 2025'!$AB$6:$AM$55,_xlfn.XMATCH(RIGHT(MFG!$A69,4)*1,'Autumn term 2025'!$AA$6:$AA$55),_xlfn.XMATCH(MFG!I$7,'Autumn term 2025'!$AB$5:$AM$5)),0)</f>
        <v>0</v>
      </c>
      <c r="J69" s="403" cm="1">
        <f t="array" ref="J69">IFERROR(INDEX('Autumn term 2025'!$AB$6:$AM$55,_xlfn.XMATCH(RIGHT(MFG!$A69,4)*1,'Autumn term 2025'!$AA$6:$AA$55),_xlfn.XMATCH(MFG!J$7,'Autumn term 2025'!$AB$5:$AM$5)),0)</f>
        <v>0</v>
      </c>
      <c r="K69" s="403" cm="1">
        <f t="array" ref="K69">IFERROR(INDEX('Autumn term 2025'!$AB$6:$AM$55,_xlfn.XMATCH(RIGHT(MFG!$A69,4)*1,'Autumn term 2025'!$AA$6:$AA$55),_xlfn.XMATCH(MFG!K$7,'Autumn term 2025'!$AB$5:$AM$5)),0)</f>
        <v>0</v>
      </c>
      <c r="L69" s="403" cm="1">
        <f t="array" ref="L69">IFERROR(INDEX('Autumn term 2025'!$AB$6:$AM$55,_xlfn.XMATCH(RIGHT(MFG!$A69,4)*1,'Autumn term 2025'!$AA$6:$AA$55),_xlfn.XMATCH(MFG!L$7,'Autumn term 2025'!$AB$5:$AM$5)),0)</f>
        <v>0</v>
      </c>
      <c r="M69" s="403" cm="1">
        <f t="array" ref="M69">IFERROR(INDEX('Autumn term 2025'!$AB$6:$AM$55,_xlfn.XMATCH(RIGHT(MFG!$A69,4)*1,'Autumn term 2025'!$AA$6:$AA$55),_xlfn.XMATCH(MFG!M$7,'Autumn term 2025'!$AB$5:$AM$5)),0)</f>
        <v>0</v>
      </c>
      <c r="N69" s="403" cm="1">
        <f t="array" ref="N69">IFERROR(INDEX('Autumn term 2025'!$AB$6:$AM$55,_xlfn.XMATCH(RIGHT(MFG!$A69,4)*1,'Autumn term 2025'!$AA$6:$AA$55),_xlfn.XMATCH(MFG!N$7,'Autumn term 2025'!$AB$5:$AM$5)),0)</f>
        <v>0</v>
      </c>
      <c r="O69" s="403" cm="1">
        <f t="array" ref="O69">IFERROR(INDEX('Autumn term 2025'!$AB$6:$AM$55,_xlfn.XMATCH(RIGHT(MFG!$A69,4)*1,'Autumn term 2025'!$AA$6:$AA$55),_xlfn.XMATCH(MFG!O$7,'Autumn term 2025'!$AB$5:$AM$5)),0)</f>
        <v>0</v>
      </c>
      <c r="P69" s="403" cm="1">
        <f t="array" ref="P69">IFERROR(INDEX('Autumn term 2025'!$AB$6:$AM$55,_xlfn.XMATCH(RIGHT(MFG!$A69,4)*1,'Autumn term 2025'!$AA$6:$AA$55),_xlfn.XMATCH(MFG!P$7,'Autumn term 2025'!$AB$5:$AM$5)),0)</f>
        <v>0</v>
      </c>
      <c r="Q69" s="404" cm="1">
        <f t="array" ref="Q69">IFERROR(INDEX('Autumn term 2025'!$AB$6:$AM$55,_xlfn.XMATCH(RIGHT(MFG!$A69,4)*1,'Autumn term 2025'!$AA$6:$AA$55),_xlfn.XMATCH(MFG!Q$7,'Autumn term 2025'!$AB$5:$AM$5)),0)</f>
        <v>0</v>
      </c>
      <c r="R69" s="412">
        <f>IF(VLOOKUP($A69,Data!$A$4:$I$81,9,FALSE)="PRI",G69*$G$2+H69*$H$2+I69*$I$2+J69*$J$2+K69*$K$2+L69*$L$2+M69*$M$2+N69*$N$2+O69*$O$2+P69*$P$2+Q69*$Q$2,G69*$G$3+H69*$H$3+I69*$I$3+J69*$J$3+K69*$K$3+L69*$L$3+M69*$M$3+N69*$N$3+O69*$O$3+P69*$P$3+Q69*$Q$3)</f>
        <v>168504</v>
      </c>
      <c r="S69" s="145">
        <f>IF(VLOOKUP($A69,Data!$A$4:$I$81,9,FALSE)="PRI",G69*$G$4+H69*$H$4+I69*$I$4+J69*$J$4+K69*$K$4+L69*$L$4+M69*$M$4+N69*$N$4+O69*$O$4+P69*$P$4+Q69*$Q$4,G69*$G$5+H69*$H$5+I69*$I$5+J69*$J$5+K69*$K$5+L69*$L$5+M69*$M$5+N69*$N$5+O69*$O$5+P69*$P$5+Q69*$Q$5)</f>
        <v>174199</v>
      </c>
      <c r="T69" s="229">
        <f>IFERROR(VLOOKUP(RIGHT($A69,4)*1,'Autumn term 2025'!$U$6:$X$16,3,FALSE),0)</f>
        <v>0</v>
      </c>
      <c r="U69" s="230">
        <f>IFERROR(VLOOKUP(RIGHT($A69,4)*1,'Autumn term 2025'!$U$6:$X$16,2,FALSE),0)</f>
        <v>0</v>
      </c>
      <c r="V69" s="231">
        <f>IF(VLOOKUP($A69,Data!$A$3:$I$81,9,FALSE)="Pri",T69*$T$2+U69*$U$2,T69*$T$3+U69*$U$3)</f>
        <v>0</v>
      </c>
      <c r="W69" s="232">
        <f>IF(VLOOKUP($A69,Data!$A$3:$I$81,9,FALSE)="Pri",T69*$T$4+U69*$U$4,T69*$T$5+U69*$U$5)</f>
        <v>0</v>
      </c>
      <c r="X69" s="235">
        <f t="shared" si="21"/>
        <v>0</v>
      </c>
      <c r="Y69" s="399">
        <f t="shared" si="22"/>
        <v>279504</v>
      </c>
      <c r="Z69" s="234">
        <f t="shared" si="23"/>
        <v>279504</v>
      </c>
      <c r="AA69" s="46">
        <f t="shared" si="24"/>
        <v>285199</v>
      </c>
      <c r="AB69" s="400">
        <f t="shared" si="25"/>
        <v>0</v>
      </c>
      <c r="AC69" s="21">
        <f t="shared" si="26"/>
        <v>0</v>
      </c>
      <c r="AD69" s="11"/>
      <c r="AE69" s="11"/>
      <c r="AF69" s="146">
        <f>IFERROR(VLOOKUP(A69,'25-26 MFG'!A:D,3,FALSE),0)</f>
        <v>0</v>
      </c>
      <c r="AG69" s="75">
        <f>IFERROR(VLOOKUP(A69,'25-26 MFG'!A:D,4,FALSE),0)</f>
        <v>0</v>
      </c>
      <c r="AH69" s="224">
        <f t="shared" si="27"/>
        <v>0</v>
      </c>
    </row>
    <row r="70" spans="1:34">
      <c r="A70" s="8">
        <v>8504174</v>
      </c>
      <c r="B70" s="142" t="s">
        <v>35</v>
      </c>
      <c r="C70" s="16">
        <f>IFERROR(VLOOKUP(RIGHT($A70,4)*1,'Autumn term 2025'!$AA$6:$AM$57,12,FALSE),0)</f>
        <v>5</v>
      </c>
      <c r="D70" s="16">
        <f>SUMIF(APN!$A$3:$A$97,(RIGHT($A70,4)*1),APN!$K$3:$K$97)</f>
        <v>6</v>
      </c>
      <c r="E70" s="209">
        <f>D70*Values!$J$17</f>
        <v>36000</v>
      </c>
      <c r="F70" s="410">
        <f t="shared" si="20"/>
        <v>36000</v>
      </c>
      <c r="G70" s="402" cm="1">
        <f t="array" ref="G70">IFERROR(INDEX('Autumn term 2025'!$AB$6:$AM$55,_xlfn.XMATCH(RIGHT(MFG!$A70,4)*1,'Autumn term 2025'!$AA$6:$AA$55),_xlfn.XMATCH(MFG!G$7,'Autumn term 2025'!$AB$5:$AM$5)),0)</f>
        <v>0</v>
      </c>
      <c r="H70" s="403" cm="1">
        <f t="array" ref="H70">IFERROR(INDEX('Autumn term 2025'!$AB$6:$AM$55,_xlfn.XMATCH(RIGHT(MFG!$A70,4)*1,'Autumn term 2025'!$AA$6:$AA$55),_xlfn.XMATCH(MFG!H$7,'Autumn term 2025'!$AB$5:$AM$5)),0)</f>
        <v>5</v>
      </c>
      <c r="I70" s="403" cm="1">
        <f t="array" ref="I70">IFERROR(INDEX('Autumn term 2025'!$AB$6:$AM$55,_xlfn.XMATCH(RIGHT(MFG!$A70,4)*1,'Autumn term 2025'!$AA$6:$AA$55),_xlfn.XMATCH(MFG!I$7,'Autumn term 2025'!$AB$5:$AM$5)),0)</f>
        <v>0</v>
      </c>
      <c r="J70" s="403" cm="1">
        <f t="array" ref="J70">IFERROR(INDEX('Autumn term 2025'!$AB$6:$AM$55,_xlfn.XMATCH(RIGHT(MFG!$A70,4)*1,'Autumn term 2025'!$AA$6:$AA$55),_xlfn.XMATCH(MFG!J$7,'Autumn term 2025'!$AB$5:$AM$5)),0)</f>
        <v>0</v>
      </c>
      <c r="K70" s="403" cm="1">
        <f t="array" ref="K70">IFERROR(INDEX('Autumn term 2025'!$AB$6:$AM$55,_xlfn.XMATCH(RIGHT(MFG!$A70,4)*1,'Autumn term 2025'!$AA$6:$AA$55),_xlfn.XMATCH(MFG!K$7,'Autumn term 2025'!$AB$5:$AM$5)),0)</f>
        <v>0</v>
      </c>
      <c r="L70" s="403" cm="1">
        <f t="array" ref="L70">IFERROR(INDEX('Autumn term 2025'!$AB$6:$AM$55,_xlfn.XMATCH(RIGHT(MFG!$A70,4)*1,'Autumn term 2025'!$AA$6:$AA$55),_xlfn.XMATCH(MFG!L$7,'Autumn term 2025'!$AB$5:$AM$5)),0)</f>
        <v>0</v>
      </c>
      <c r="M70" s="403" cm="1">
        <f t="array" ref="M70">IFERROR(INDEX('Autumn term 2025'!$AB$6:$AM$55,_xlfn.XMATCH(RIGHT(MFG!$A70,4)*1,'Autumn term 2025'!$AA$6:$AA$55),_xlfn.XMATCH(MFG!M$7,'Autumn term 2025'!$AB$5:$AM$5)),0)</f>
        <v>0</v>
      </c>
      <c r="N70" s="403" cm="1">
        <f t="array" ref="N70">IFERROR(INDEX('Autumn term 2025'!$AB$6:$AM$55,_xlfn.XMATCH(RIGHT(MFG!$A70,4)*1,'Autumn term 2025'!$AA$6:$AA$55),_xlfn.XMATCH(MFG!N$7,'Autumn term 2025'!$AB$5:$AM$5)),0)</f>
        <v>0</v>
      </c>
      <c r="O70" s="403" cm="1">
        <f t="array" ref="O70">IFERROR(INDEX('Autumn term 2025'!$AB$6:$AM$55,_xlfn.XMATCH(RIGHT(MFG!$A70,4)*1,'Autumn term 2025'!$AA$6:$AA$55),_xlfn.XMATCH(MFG!O$7,'Autumn term 2025'!$AB$5:$AM$5)),0)</f>
        <v>0</v>
      </c>
      <c r="P70" s="403" cm="1">
        <f t="array" ref="P70">IFERROR(INDEX('Autumn term 2025'!$AB$6:$AM$55,_xlfn.XMATCH(RIGHT(MFG!$A70,4)*1,'Autumn term 2025'!$AA$6:$AA$55),_xlfn.XMATCH(MFG!P$7,'Autumn term 2025'!$AB$5:$AM$5)),0)</f>
        <v>0</v>
      </c>
      <c r="Q70" s="404" cm="1">
        <f t="array" ref="Q70">IFERROR(INDEX('Autumn term 2025'!$AB$6:$AM$55,_xlfn.XMATCH(RIGHT(MFG!$A70,4)*1,'Autumn term 2025'!$AA$6:$AA$55),_xlfn.XMATCH(MFG!Q$7,'Autumn term 2025'!$AB$5:$AM$5)),0)</f>
        <v>0</v>
      </c>
      <c r="R70" s="412">
        <f>IF(VLOOKUP($A70,Data!$A$4:$I$81,9,FALSE)="PRI",G70*$G$2+H70*$H$2+I70*$I$2+J70*$J$2+K70*$K$2+L70*$L$2+M70*$M$2+N70*$N$2+O70*$O$2+P70*$P$2+Q70*$Q$2,G70*$G$3+H70*$H$3+I70*$I$3+J70*$J$3+K70*$K$3+L70*$L$3+M70*$M$3+N70*$N$3+O70*$O$3+P70*$P$3+Q70*$Q$3)</f>
        <v>29830</v>
      </c>
      <c r="S70" s="145">
        <f>IF(VLOOKUP($A70,Data!$A$4:$I$81,9,FALSE)="PRI",G70*$G$4+H70*$H$4+I70*$I$4+J70*$J$4+K70*$K$4+L70*$L$4+M70*$M$4+N70*$N$4+O70*$O$4+P70*$P$4+Q70*$Q$4,G70*$G$5+H70*$H$5+I70*$I$5+J70*$J$5+K70*$K$5+L70*$L$5+M70*$M$5+N70*$N$5+O70*$O$5+P70*$P$5+Q70*$Q$5)</f>
        <v>31090</v>
      </c>
      <c r="T70" s="229">
        <f>IFERROR(VLOOKUP(RIGHT($A70,4)*1,'Autumn term 2025'!$U$6:$X$16,3,FALSE),0)</f>
        <v>0</v>
      </c>
      <c r="U70" s="230">
        <f>IFERROR(VLOOKUP(RIGHT($A70,4)*1,'Autumn term 2025'!$U$6:$X$16,2,FALSE),0)</f>
        <v>0</v>
      </c>
      <c r="V70" s="231">
        <f>IF(VLOOKUP($A70,Data!$A$3:$I$81,9,FALSE)="Pri",T70*$T$2+U70*$U$2,T70*$T$3+U70*$U$3)</f>
        <v>0</v>
      </c>
      <c r="W70" s="232">
        <f>IF(VLOOKUP($A70,Data!$A$3:$I$81,9,FALSE)="Pri",T70*$T$4+U70*$U$4,T70*$T$5+U70*$U$5)</f>
        <v>0</v>
      </c>
      <c r="X70" s="235">
        <f t="shared" si="21"/>
        <v>0</v>
      </c>
      <c r="Y70" s="399">
        <f t="shared" si="22"/>
        <v>65830</v>
      </c>
      <c r="Z70" s="234">
        <f t="shared" si="23"/>
        <v>65830</v>
      </c>
      <c r="AA70" s="46">
        <f t="shared" si="24"/>
        <v>67090</v>
      </c>
      <c r="AB70" s="400">
        <f t="shared" si="25"/>
        <v>0</v>
      </c>
      <c r="AC70" s="21">
        <f t="shared" si="26"/>
        <v>0</v>
      </c>
      <c r="AD70" s="11"/>
      <c r="AE70" s="11"/>
      <c r="AF70" s="146">
        <f>IFERROR(VLOOKUP(A70,'25-26 MFG'!A:D,3,FALSE),0)</f>
        <v>0</v>
      </c>
      <c r="AG70" s="75">
        <f>IFERROR(VLOOKUP(A70,'25-26 MFG'!A:D,4,FALSE),0)</f>
        <v>0</v>
      </c>
      <c r="AH70" s="224">
        <f t="shared" si="27"/>
        <v>0</v>
      </c>
    </row>
    <row r="71" spans="1:34" ht="15.75" customHeight="1">
      <c r="A71" s="8">
        <v>8504180</v>
      </c>
      <c r="B71" s="142" t="s">
        <v>36</v>
      </c>
      <c r="C71" s="16">
        <f>IFERROR(VLOOKUP(RIGHT($A71,4)*1,'Autumn term 2025'!$AA$6:$AM$57,12,FALSE),0)</f>
        <v>9</v>
      </c>
      <c r="D71" s="16">
        <f>SUMIF(APN!$A$3:$A$97,(RIGHT($A71,4)*1),APN!$K$3:$K$97)</f>
        <v>12</v>
      </c>
      <c r="E71" s="209">
        <f>D71*Values!$J$17</f>
        <v>72000</v>
      </c>
      <c r="F71" s="410">
        <f t="shared" si="20"/>
        <v>72000</v>
      </c>
      <c r="G71" s="402" cm="1">
        <f t="array" ref="G71">IFERROR(INDEX('Autumn term 2025'!$AB$6:$AM$55,_xlfn.XMATCH(RIGHT(MFG!$A71,4)*1,'Autumn term 2025'!$AA$6:$AA$55),_xlfn.XMATCH(MFG!G$7,'Autumn term 2025'!$AB$5:$AM$5)),0)</f>
        <v>0</v>
      </c>
      <c r="H71" s="403" cm="1">
        <f t="array" ref="H71">IFERROR(INDEX('Autumn term 2025'!$AB$6:$AM$55,_xlfn.XMATCH(RIGHT(MFG!$A71,4)*1,'Autumn term 2025'!$AA$6:$AA$55),_xlfn.XMATCH(MFG!H$7,'Autumn term 2025'!$AB$5:$AM$5)),0)</f>
        <v>0</v>
      </c>
      <c r="I71" s="403" cm="1">
        <f t="array" ref="I71">IFERROR(INDEX('Autumn term 2025'!$AB$6:$AM$55,_xlfn.XMATCH(RIGHT(MFG!$A71,4)*1,'Autumn term 2025'!$AA$6:$AA$55),_xlfn.XMATCH(MFG!I$7,'Autumn term 2025'!$AB$5:$AM$5)),0)</f>
        <v>0</v>
      </c>
      <c r="J71" s="403" cm="1">
        <f t="array" ref="J71">IFERROR(INDEX('Autumn term 2025'!$AB$6:$AM$55,_xlfn.XMATCH(RIGHT(MFG!$A71,4)*1,'Autumn term 2025'!$AA$6:$AA$55),_xlfn.XMATCH(MFG!J$7,'Autumn term 2025'!$AB$5:$AM$5)),0)</f>
        <v>0</v>
      </c>
      <c r="K71" s="403" cm="1">
        <f t="array" ref="K71">IFERROR(INDEX('Autumn term 2025'!$AB$6:$AM$55,_xlfn.XMATCH(RIGHT(MFG!$A71,4)*1,'Autumn term 2025'!$AA$6:$AA$55),_xlfn.XMATCH(MFG!K$7,'Autumn term 2025'!$AB$5:$AM$5)),0)</f>
        <v>0</v>
      </c>
      <c r="L71" s="403" cm="1">
        <f t="array" ref="L71">IFERROR(INDEX('Autumn term 2025'!$AB$6:$AM$55,_xlfn.XMATCH(RIGHT(MFG!$A71,4)*1,'Autumn term 2025'!$AA$6:$AA$55),_xlfn.XMATCH(MFG!L$7,'Autumn term 2025'!$AB$5:$AM$5)),0)</f>
        <v>0</v>
      </c>
      <c r="M71" s="403" cm="1">
        <f t="array" ref="M71">IFERROR(INDEX('Autumn term 2025'!$AB$6:$AM$55,_xlfn.XMATCH(RIGHT(MFG!$A71,4)*1,'Autumn term 2025'!$AA$6:$AA$55),_xlfn.XMATCH(MFG!M$7,'Autumn term 2025'!$AB$5:$AM$5)),0)</f>
        <v>0</v>
      </c>
      <c r="N71" s="403" cm="1">
        <f t="array" ref="N71">IFERROR(INDEX('Autumn term 2025'!$AB$6:$AM$55,_xlfn.XMATCH(RIGHT(MFG!$A71,4)*1,'Autumn term 2025'!$AA$6:$AA$55),_xlfn.XMATCH(MFG!N$7,'Autumn term 2025'!$AB$5:$AM$5)),0)</f>
        <v>9</v>
      </c>
      <c r="O71" s="403" cm="1">
        <f t="array" ref="O71">IFERROR(INDEX('Autumn term 2025'!$AB$6:$AM$55,_xlfn.XMATCH(RIGHT(MFG!$A71,4)*1,'Autumn term 2025'!$AA$6:$AA$55),_xlfn.XMATCH(MFG!O$7,'Autumn term 2025'!$AB$5:$AM$5)),0)</f>
        <v>0</v>
      </c>
      <c r="P71" s="403" cm="1">
        <f t="array" ref="P71">IFERROR(INDEX('Autumn term 2025'!$AB$6:$AM$55,_xlfn.XMATCH(RIGHT(MFG!$A71,4)*1,'Autumn term 2025'!$AA$6:$AA$55),_xlfn.XMATCH(MFG!P$7,'Autumn term 2025'!$AB$5:$AM$5)),0)</f>
        <v>0</v>
      </c>
      <c r="Q71" s="404" cm="1">
        <f t="array" ref="Q71">IFERROR(INDEX('Autumn term 2025'!$AB$6:$AM$55,_xlfn.XMATCH(RIGHT(MFG!$A71,4)*1,'Autumn term 2025'!$AA$6:$AA$55),_xlfn.XMATCH(MFG!Q$7,'Autumn term 2025'!$AB$5:$AM$5)),0)</f>
        <v>0</v>
      </c>
      <c r="R71" s="412">
        <f>IF(VLOOKUP($A71,Data!$A$4:$I$81,9,FALSE)="PRI",G71*$G$2+H71*$H$2+I71*$I$2+J71*$J$2+K71*$K$2+L71*$L$2+M71*$M$2+N71*$N$2+O71*$O$2+P71*$P$2+Q71*$Q$2,G71*$G$3+H71*$H$3+I71*$I$3+J71*$J$3+K71*$K$3+L71*$L$3+M71*$M$3+N71*$N$3+O71*$O$3+P71*$P$3+Q71*$Q$3)</f>
        <v>44271</v>
      </c>
      <c r="S71" s="145">
        <f>IF(VLOOKUP($A71,Data!$A$4:$I$81,9,FALSE)="PRI",G71*$G$4+H71*$H$4+I71*$I$4+J71*$J$4+K71*$K$4+L71*$L$4+M71*$M$4+N71*$N$4+O71*$O$4+P71*$P$4+Q71*$Q$4,G71*$G$5+H71*$H$5+I71*$I$5+J71*$J$5+K71*$K$5+L71*$L$5+M71*$M$5+N71*$N$5+O71*$O$5+P71*$P$5+Q71*$Q$5)</f>
        <v>46341</v>
      </c>
      <c r="T71" s="229">
        <f>IFERROR(VLOOKUP(RIGHT($A71,4)*1,'Autumn term 2025'!$U$6:$X$16,3,FALSE),0)</f>
        <v>0</v>
      </c>
      <c r="U71" s="230">
        <f>IFERROR(VLOOKUP(RIGHT($A71,4)*1,'Autumn term 2025'!$U$6:$X$16,2,FALSE),0)</f>
        <v>0</v>
      </c>
      <c r="V71" s="231">
        <f>IF(VLOOKUP($A71,Data!$A$3:$I$81,9,FALSE)="Pri",T71*$T$2+U71*$U$2,T71*$T$3+U71*$U$3)</f>
        <v>0</v>
      </c>
      <c r="W71" s="232">
        <f>IF(VLOOKUP($A71,Data!$A$3:$I$81,9,FALSE)="Pri",T71*$T$4+U71*$U$4,T71*$T$5+U71*$U$5)</f>
        <v>0</v>
      </c>
      <c r="X71" s="235">
        <f t="shared" si="21"/>
        <v>0</v>
      </c>
      <c r="Y71" s="399">
        <f t="shared" si="22"/>
        <v>116271</v>
      </c>
      <c r="Z71" s="234">
        <f t="shared" si="23"/>
        <v>116271</v>
      </c>
      <c r="AA71" s="46">
        <f t="shared" si="24"/>
        <v>118341</v>
      </c>
      <c r="AB71" s="400">
        <f t="shared" si="25"/>
        <v>0</v>
      </c>
      <c r="AC71" s="21">
        <f t="shared" si="26"/>
        <v>0</v>
      </c>
      <c r="AD71" s="11"/>
      <c r="AE71" s="11"/>
      <c r="AF71" s="146">
        <f>IFERROR(VLOOKUP(A71,'25-26 MFG'!A:D,3,FALSE),0)</f>
        <v>0</v>
      </c>
      <c r="AG71" s="75">
        <f>IFERROR(VLOOKUP(A71,'25-26 MFG'!A:D,4,FALSE),0)</f>
        <v>0</v>
      </c>
      <c r="AH71" s="224">
        <f t="shared" si="27"/>
        <v>0</v>
      </c>
    </row>
    <row r="72" spans="1:34" ht="15.75" customHeight="1">
      <c r="A72" s="8">
        <v>8504164</v>
      </c>
      <c r="B72" s="142" t="s">
        <v>37</v>
      </c>
      <c r="C72" s="16">
        <f>IFERROR(VLOOKUP(RIGHT($A72,4)*1,'Autumn term 2025'!$AA$6:$AM$57,12,FALSE),0)</f>
        <v>16</v>
      </c>
      <c r="D72" s="16">
        <f>SUMIF(APN!$A$3:$A$97,(RIGHT($A72,4)*1),APN!$K$3:$K$97)</f>
        <v>12</v>
      </c>
      <c r="E72" s="209">
        <f>D72*Values!$J$17</f>
        <v>72000</v>
      </c>
      <c r="F72" s="410">
        <f t="shared" si="20"/>
        <v>72000</v>
      </c>
      <c r="G72" s="402" cm="1">
        <f t="array" ref="G72">IFERROR(INDEX('Autumn term 2025'!$AB$6:$AM$55,_xlfn.XMATCH(RIGHT(MFG!$A72,4)*1,'Autumn term 2025'!$AA$6:$AA$55),_xlfn.XMATCH(MFG!G$7,'Autumn term 2025'!$AB$5:$AM$5)),0)</f>
        <v>0</v>
      </c>
      <c r="H72" s="403" cm="1">
        <f t="array" ref="H72">IFERROR(INDEX('Autumn term 2025'!$AB$6:$AM$55,_xlfn.XMATCH(RIGHT(MFG!$A72,4)*1,'Autumn term 2025'!$AA$6:$AA$55),_xlfn.XMATCH(MFG!H$7,'Autumn term 2025'!$AB$5:$AM$5)),0)</f>
        <v>0</v>
      </c>
      <c r="I72" s="403" cm="1">
        <f t="array" ref="I72">IFERROR(INDEX('Autumn term 2025'!$AB$6:$AM$55,_xlfn.XMATCH(RIGHT(MFG!$A72,4)*1,'Autumn term 2025'!$AA$6:$AA$55),_xlfn.XMATCH(MFG!I$7,'Autumn term 2025'!$AB$5:$AM$5)),0)</f>
        <v>0</v>
      </c>
      <c r="J72" s="403" cm="1">
        <f t="array" ref="J72">IFERROR(INDEX('Autumn term 2025'!$AB$6:$AM$55,_xlfn.XMATCH(RIGHT(MFG!$A72,4)*1,'Autumn term 2025'!$AA$6:$AA$55),_xlfn.XMATCH(MFG!J$7,'Autumn term 2025'!$AB$5:$AM$5)),0)</f>
        <v>0</v>
      </c>
      <c r="K72" s="403" cm="1">
        <f t="array" ref="K72">IFERROR(INDEX('Autumn term 2025'!$AB$6:$AM$55,_xlfn.XMATCH(RIGHT(MFG!$A72,4)*1,'Autumn term 2025'!$AA$6:$AA$55),_xlfn.XMATCH(MFG!K$7,'Autumn term 2025'!$AB$5:$AM$5)),0)</f>
        <v>0</v>
      </c>
      <c r="L72" s="403" cm="1">
        <f t="array" ref="L72">IFERROR(INDEX('Autumn term 2025'!$AB$6:$AM$55,_xlfn.XMATCH(RIGHT(MFG!$A72,4)*1,'Autumn term 2025'!$AA$6:$AA$55),_xlfn.XMATCH(MFG!L$7,'Autumn term 2025'!$AB$5:$AM$5)),0)</f>
        <v>0</v>
      </c>
      <c r="M72" s="403" cm="1">
        <f t="array" ref="M72">IFERROR(INDEX('Autumn term 2025'!$AB$6:$AM$55,_xlfn.XMATCH(RIGHT(MFG!$A72,4)*1,'Autumn term 2025'!$AA$6:$AA$55),_xlfn.XMATCH(MFG!M$7,'Autumn term 2025'!$AB$5:$AM$5)),0)</f>
        <v>0</v>
      </c>
      <c r="N72" s="403" cm="1">
        <f t="array" ref="N72">IFERROR(INDEX('Autumn term 2025'!$AB$6:$AM$55,_xlfn.XMATCH(RIGHT(MFG!$A72,4)*1,'Autumn term 2025'!$AA$6:$AA$55),_xlfn.XMATCH(MFG!N$7,'Autumn term 2025'!$AB$5:$AM$5)),0)</f>
        <v>0</v>
      </c>
      <c r="O72" s="403" cm="1">
        <f t="array" ref="O72">IFERROR(INDEX('Autumn term 2025'!$AB$6:$AM$55,_xlfn.XMATCH(RIGHT(MFG!$A72,4)*1,'Autumn term 2025'!$AA$6:$AA$55),_xlfn.XMATCH(MFG!O$7,'Autumn term 2025'!$AB$5:$AM$5)),0)</f>
        <v>0</v>
      </c>
      <c r="P72" s="403" cm="1">
        <f t="array" ref="P72">IFERROR(INDEX('Autumn term 2025'!$AB$6:$AM$55,_xlfn.XMATCH(RIGHT(MFG!$A72,4)*1,'Autumn term 2025'!$AA$6:$AA$55),_xlfn.XMATCH(MFG!P$7,'Autumn term 2025'!$AB$5:$AM$5)),0)</f>
        <v>16</v>
      </c>
      <c r="Q72" s="404" cm="1">
        <f t="array" ref="Q72">IFERROR(INDEX('Autumn term 2025'!$AB$6:$AM$55,_xlfn.XMATCH(RIGHT(MFG!$A72,4)*1,'Autumn term 2025'!$AA$6:$AA$55),_xlfn.XMATCH(MFG!Q$7,'Autumn term 2025'!$AB$5:$AM$5)),0)</f>
        <v>0</v>
      </c>
      <c r="R72" s="412">
        <f>IF(VLOOKUP($A72,Data!$A$4:$I$81,9,FALSE)="PRI",G72*$G$2+H72*$H$2+I72*$I$2+J72*$J$2+K72*$K$2+L72*$L$2+M72*$M$2+N72*$N$2+O72*$O$2+P72*$P$2+Q72*$Q$2,G72*$G$3+H72*$H$3+I72*$I$3+J72*$J$3+K72*$K$3+L72*$L$3+M72*$M$3+N72*$N$3+O72*$O$3+P72*$P$3+Q72*$Q$3)</f>
        <v>18560</v>
      </c>
      <c r="S72" s="145">
        <f>IF(VLOOKUP($A72,Data!$A$4:$I$81,9,FALSE)="PRI",G72*$G$4+H72*$H$4+I72*$I$4+J72*$J$4+K72*$K$4+L72*$L$4+M72*$M$4+N72*$N$4+O72*$O$4+P72*$P$4+Q72*$Q$4,G72*$G$5+H72*$H$5+I72*$I$5+J72*$J$5+K72*$K$5+L72*$L$5+M72*$M$5+N72*$N$5+O72*$O$5+P72*$P$5+Q72*$Q$5)</f>
        <v>20976</v>
      </c>
      <c r="T72" s="229">
        <f>IFERROR(VLOOKUP(RIGHT($A72,4)*1,'Autumn term 2025'!$U$6:$X$16,3,FALSE),0)</f>
        <v>0</v>
      </c>
      <c r="U72" s="230">
        <f>IFERROR(VLOOKUP(RIGHT($A72,4)*1,'Autumn term 2025'!$U$6:$X$16,2,FALSE),0)</f>
        <v>0</v>
      </c>
      <c r="V72" s="231">
        <f>IF(VLOOKUP($A72,Data!$A$3:$I$81,9,FALSE)="Pri",T72*$T$2+U72*$U$2,T72*$T$3+U72*$U$3)</f>
        <v>0</v>
      </c>
      <c r="W72" s="232">
        <f>IF(VLOOKUP($A72,Data!$A$3:$I$81,9,FALSE)="Pri",T72*$T$4+U72*$U$4,T72*$T$5+U72*$U$5)</f>
        <v>0</v>
      </c>
      <c r="X72" s="235">
        <f t="shared" si="21"/>
        <v>0</v>
      </c>
      <c r="Y72" s="399">
        <f t="shared" si="22"/>
        <v>90560</v>
      </c>
      <c r="Z72" s="234">
        <f t="shared" si="23"/>
        <v>90560</v>
      </c>
      <c r="AA72" s="46">
        <f t="shared" si="24"/>
        <v>92976</v>
      </c>
      <c r="AB72" s="400">
        <f t="shared" si="25"/>
        <v>0</v>
      </c>
      <c r="AC72" s="21">
        <f t="shared" si="26"/>
        <v>0</v>
      </c>
      <c r="AD72" s="11"/>
      <c r="AE72" s="11"/>
      <c r="AF72" s="146">
        <f>IFERROR(VLOOKUP(A72,'25-26 MFG'!A:D,3,FALSE),0)</f>
        <v>0</v>
      </c>
      <c r="AG72" s="75">
        <f>IFERROR(VLOOKUP(A72,'25-26 MFG'!A:D,4,FALSE),0)</f>
        <v>0</v>
      </c>
      <c r="AH72" s="224">
        <f t="shared" si="27"/>
        <v>0</v>
      </c>
    </row>
    <row r="73" spans="1:34" ht="15.75" customHeight="1">
      <c r="A73" s="8">
        <v>8504191</v>
      </c>
      <c r="B73" s="142" t="s">
        <v>38</v>
      </c>
      <c r="C73" s="16">
        <f>IFERROR(VLOOKUP(RIGHT($A73,4)*1,'Autumn term 2025'!$AA$6:$AM$57,12,FALSE),0)</f>
        <v>16</v>
      </c>
      <c r="D73" s="16">
        <f>SUMIF(APN!$A$3:$A$97,(RIGHT($A73,4)*1),APN!$K$3:$K$97)</f>
        <v>24.916666666666668</v>
      </c>
      <c r="E73" s="209">
        <f>D73*Values!$J$17</f>
        <v>149500</v>
      </c>
      <c r="F73" s="410">
        <f t="shared" si="20"/>
        <v>149500</v>
      </c>
      <c r="G73" s="402" cm="1">
        <f t="array" ref="G73">IFERROR(INDEX('Autumn term 2025'!$AB$6:$AM$55,_xlfn.XMATCH(RIGHT(MFG!$A73,4)*1,'Autumn term 2025'!$AA$6:$AA$55),_xlfn.XMATCH(MFG!G$7,'Autumn term 2025'!$AB$5:$AM$5)),0)</f>
        <v>0</v>
      </c>
      <c r="H73" s="403" cm="1">
        <f t="array" ref="H73">IFERROR(INDEX('Autumn term 2025'!$AB$6:$AM$55,_xlfn.XMATCH(RIGHT(MFG!$A73,4)*1,'Autumn term 2025'!$AA$6:$AA$55),_xlfn.XMATCH(MFG!H$7,'Autumn term 2025'!$AB$5:$AM$5)),0)</f>
        <v>0</v>
      </c>
      <c r="I73" s="403" cm="1">
        <f t="array" ref="I73">IFERROR(INDEX('Autumn term 2025'!$AB$6:$AM$55,_xlfn.XMATCH(RIGHT(MFG!$A73,4)*1,'Autumn term 2025'!$AA$6:$AA$55),_xlfn.XMATCH(MFG!I$7,'Autumn term 2025'!$AB$5:$AM$5)),0)</f>
        <v>0</v>
      </c>
      <c r="J73" s="403" cm="1">
        <f t="array" ref="J73">IFERROR(INDEX('Autumn term 2025'!$AB$6:$AM$55,_xlfn.XMATCH(RIGHT(MFG!$A73,4)*1,'Autumn term 2025'!$AA$6:$AA$55),_xlfn.XMATCH(MFG!J$7,'Autumn term 2025'!$AB$5:$AM$5)),0)</f>
        <v>0</v>
      </c>
      <c r="K73" s="403" cm="1">
        <f t="array" ref="K73">IFERROR(INDEX('Autumn term 2025'!$AB$6:$AM$55,_xlfn.XMATCH(RIGHT(MFG!$A73,4)*1,'Autumn term 2025'!$AA$6:$AA$55),_xlfn.XMATCH(MFG!K$7,'Autumn term 2025'!$AB$5:$AM$5)),0)</f>
        <v>0</v>
      </c>
      <c r="L73" s="403" cm="1">
        <f t="array" ref="L73">IFERROR(INDEX('Autumn term 2025'!$AB$6:$AM$55,_xlfn.XMATCH(RIGHT(MFG!$A73,4)*1,'Autumn term 2025'!$AA$6:$AA$55),_xlfn.XMATCH(MFG!L$7,'Autumn term 2025'!$AB$5:$AM$5)),0)</f>
        <v>0</v>
      </c>
      <c r="M73" s="403" cm="1">
        <f t="array" ref="M73">IFERROR(INDEX('Autumn term 2025'!$AB$6:$AM$55,_xlfn.XMATCH(RIGHT(MFG!$A73,4)*1,'Autumn term 2025'!$AA$6:$AA$55),_xlfn.XMATCH(MFG!M$7,'Autumn term 2025'!$AB$5:$AM$5)),0)</f>
        <v>10</v>
      </c>
      <c r="N73" s="403" cm="1">
        <f t="array" ref="N73">IFERROR(INDEX('Autumn term 2025'!$AB$6:$AM$55,_xlfn.XMATCH(RIGHT(MFG!$A73,4)*1,'Autumn term 2025'!$AA$6:$AA$55),_xlfn.XMATCH(MFG!N$7,'Autumn term 2025'!$AB$5:$AM$5)),0)</f>
        <v>0</v>
      </c>
      <c r="O73" s="403" cm="1">
        <f t="array" ref="O73">IFERROR(INDEX('Autumn term 2025'!$AB$6:$AM$55,_xlfn.XMATCH(RIGHT(MFG!$A73,4)*1,'Autumn term 2025'!$AA$6:$AA$55),_xlfn.XMATCH(MFG!O$7,'Autumn term 2025'!$AB$5:$AM$5)),0)</f>
        <v>0</v>
      </c>
      <c r="P73" s="403" cm="1">
        <f t="array" ref="P73">IFERROR(INDEX('Autumn term 2025'!$AB$6:$AM$55,_xlfn.XMATCH(RIGHT(MFG!$A73,4)*1,'Autumn term 2025'!$AA$6:$AA$55),_xlfn.XMATCH(MFG!P$7,'Autumn term 2025'!$AB$5:$AM$5)),0)</f>
        <v>6</v>
      </c>
      <c r="Q73" s="404" cm="1">
        <f t="array" ref="Q73">IFERROR(INDEX('Autumn term 2025'!$AB$6:$AM$55,_xlfn.XMATCH(RIGHT(MFG!$A73,4)*1,'Autumn term 2025'!$AA$6:$AA$55),_xlfn.XMATCH(MFG!Q$7,'Autumn term 2025'!$AB$5:$AM$5)),0)</f>
        <v>0</v>
      </c>
      <c r="R73" s="412">
        <f>IF(VLOOKUP($A73,Data!$A$4:$I$81,9,FALSE)="PRI",G73*$G$2+H73*$H$2+I73*$I$2+J73*$J$2+K73*$K$2+L73*$L$2+M73*$M$2+N73*$N$2+O73*$O$2+P73*$P$2+Q73*$Q$2,G73*$G$3+H73*$H$3+I73*$I$3+J73*$J$3+K73*$K$3+L73*$L$3+M73*$M$3+N73*$N$3+O73*$O$3+P73*$P$3+Q73*$Q$3)</f>
        <v>119160</v>
      </c>
      <c r="S73" s="145">
        <f>IF(VLOOKUP($A73,Data!$A$4:$I$81,9,FALSE)="PRI",G73*$G$4+H73*$H$4+I73*$I$4+J73*$J$4+K73*$K$4+L73*$L$4+M73*$M$4+N73*$N$4+O73*$O$4+P73*$P$4+Q73*$Q$4,G73*$G$5+H73*$H$5+I73*$I$5+J73*$J$5+K73*$K$5+L73*$L$5+M73*$M$5+N73*$N$5+O73*$O$5+P73*$P$5+Q73*$Q$5)</f>
        <v>123686</v>
      </c>
      <c r="T73" s="229">
        <f>IFERROR(VLOOKUP(RIGHT($A73,4)*1,'Autumn term 2025'!$U$6:$X$16,3,FALSE),0)</f>
        <v>0</v>
      </c>
      <c r="U73" s="230">
        <f>IFERROR(VLOOKUP(RIGHT($A73,4)*1,'Autumn term 2025'!$U$6:$X$16,2,FALSE),0)</f>
        <v>0</v>
      </c>
      <c r="V73" s="231">
        <f>IF(VLOOKUP($A73,Data!$A$3:$I$81,9,FALSE)="Pri",T73*$T$2+U73*$U$2,T73*$T$3+U73*$U$3)</f>
        <v>0</v>
      </c>
      <c r="W73" s="232">
        <f>IF(VLOOKUP($A73,Data!$A$3:$I$81,9,FALSE)="Pri",T73*$T$4+U73*$U$4,T73*$T$5+U73*$U$5)</f>
        <v>0</v>
      </c>
      <c r="X73" s="235">
        <f t="shared" si="21"/>
        <v>0</v>
      </c>
      <c r="Y73" s="399">
        <f t="shared" si="22"/>
        <v>268660</v>
      </c>
      <c r="Z73" s="234">
        <f t="shared" si="23"/>
        <v>268660</v>
      </c>
      <c r="AA73" s="46">
        <f t="shared" si="24"/>
        <v>273186</v>
      </c>
      <c r="AB73" s="400">
        <f t="shared" si="25"/>
        <v>0</v>
      </c>
      <c r="AC73" s="21">
        <f t="shared" si="26"/>
        <v>0</v>
      </c>
      <c r="AD73" s="11"/>
      <c r="AE73" s="11"/>
      <c r="AF73" s="146">
        <f>IFERROR(VLOOKUP(A73,'25-26 MFG'!A:D,3,FALSE),0)</f>
        <v>0</v>
      </c>
      <c r="AG73" s="75">
        <f>IFERROR(VLOOKUP(A73,'25-26 MFG'!A:D,4,FALSE),0)</f>
        <v>0</v>
      </c>
      <c r="AH73" s="224">
        <f t="shared" si="27"/>
        <v>0</v>
      </c>
    </row>
    <row r="74" spans="1:34" ht="15.75" customHeight="1">
      <c r="A74" s="8">
        <v>8504203</v>
      </c>
      <c r="B74" s="142" t="s">
        <v>39</v>
      </c>
      <c r="C74" s="16">
        <f>IFERROR(VLOOKUP(RIGHT($A74,4)*1,'Autumn term 2025'!$AA$6:$AM$57,12,FALSE),0)</f>
        <v>3</v>
      </c>
      <c r="D74" s="16">
        <f>SUMIF(APN!$A$3:$A$97,(RIGHT($A74,4)*1),APN!$K$3:$K$97)</f>
        <v>5</v>
      </c>
      <c r="E74" s="209">
        <f>D74*Values!$J$17</f>
        <v>30000</v>
      </c>
      <c r="F74" s="410">
        <f t="shared" si="20"/>
        <v>30000</v>
      </c>
      <c r="G74" s="402" cm="1">
        <f t="array" ref="G74">IFERROR(INDEX('Autumn term 2025'!$AB$6:$AM$55,_xlfn.XMATCH(RIGHT(MFG!$A74,4)*1,'Autumn term 2025'!$AA$6:$AA$55),_xlfn.XMATCH(MFG!G$7,'Autumn term 2025'!$AB$5:$AM$5)),0)</f>
        <v>0</v>
      </c>
      <c r="H74" s="403" cm="1">
        <f t="array" ref="H74">IFERROR(INDEX('Autumn term 2025'!$AB$6:$AM$55,_xlfn.XMATCH(RIGHT(MFG!$A74,4)*1,'Autumn term 2025'!$AA$6:$AA$55),_xlfn.XMATCH(MFG!H$7,'Autumn term 2025'!$AB$5:$AM$5)),0)</f>
        <v>3</v>
      </c>
      <c r="I74" s="403" cm="1">
        <f t="array" ref="I74">IFERROR(INDEX('Autumn term 2025'!$AB$6:$AM$55,_xlfn.XMATCH(RIGHT(MFG!$A74,4)*1,'Autumn term 2025'!$AA$6:$AA$55),_xlfn.XMATCH(MFG!I$7,'Autumn term 2025'!$AB$5:$AM$5)),0)</f>
        <v>0</v>
      </c>
      <c r="J74" s="403" cm="1">
        <f t="array" ref="J74">IFERROR(INDEX('Autumn term 2025'!$AB$6:$AM$55,_xlfn.XMATCH(RIGHT(MFG!$A74,4)*1,'Autumn term 2025'!$AA$6:$AA$55),_xlfn.XMATCH(MFG!J$7,'Autumn term 2025'!$AB$5:$AM$5)),0)</f>
        <v>0</v>
      </c>
      <c r="K74" s="403" cm="1">
        <f t="array" ref="K74">IFERROR(INDEX('Autumn term 2025'!$AB$6:$AM$55,_xlfn.XMATCH(RIGHT(MFG!$A74,4)*1,'Autumn term 2025'!$AA$6:$AA$55),_xlfn.XMATCH(MFG!K$7,'Autumn term 2025'!$AB$5:$AM$5)),0)</f>
        <v>0</v>
      </c>
      <c r="L74" s="403" cm="1">
        <f t="array" ref="L74">IFERROR(INDEX('Autumn term 2025'!$AB$6:$AM$55,_xlfn.XMATCH(RIGHT(MFG!$A74,4)*1,'Autumn term 2025'!$AA$6:$AA$55),_xlfn.XMATCH(MFG!L$7,'Autumn term 2025'!$AB$5:$AM$5)),0)</f>
        <v>0</v>
      </c>
      <c r="M74" s="403" cm="1">
        <f t="array" ref="M74">IFERROR(INDEX('Autumn term 2025'!$AB$6:$AM$55,_xlfn.XMATCH(RIGHT(MFG!$A74,4)*1,'Autumn term 2025'!$AA$6:$AA$55),_xlfn.XMATCH(MFG!M$7,'Autumn term 2025'!$AB$5:$AM$5)),0)</f>
        <v>0</v>
      </c>
      <c r="N74" s="403" cm="1">
        <f t="array" ref="N74">IFERROR(INDEX('Autumn term 2025'!$AB$6:$AM$55,_xlfn.XMATCH(RIGHT(MFG!$A74,4)*1,'Autumn term 2025'!$AA$6:$AA$55),_xlfn.XMATCH(MFG!N$7,'Autumn term 2025'!$AB$5:$AM$5)),0)</f>
        <v>0</v>
      </c>
      <c r="O74" s="403" cm="1">
        <f t="array" ref="O74">IFERROR(INDEX('Autumn term 2025'!$AB$6:$AM$55,_xlfn.XMATCH(RIGHT(MFG!$A74,4)*1,'Autumn term 2025'!$AA$6:$AA$55),_xlfn.XMATCH(MFG!O$7,'Autumn term 2025'!$AB$5:$AM$5)),0)</f>
        <v>0</v>
      </c>
      <c r="P74" s="403" cm="1">
        <f t="array" ref="P74">IFERROR(INDEX('Autumn term 2025'!$AB$6:$AM$55,_xlfn.XMATCH(RIGHT(MFG!$A74,4)*1,'Autumn term 2025'!$AA$6:$AA$55),_xlfn.XMATCH(MFG!P$7,'Autumn term 2025'!$AB$5:$AM$5)),0)</f>
        <v>0</v>
      </c>
      <c r="Q74" s="404" cm="1">
        <f t="array" ref="Q74">IFERROR(INDEX('Autumn term 2025'!$AB$6:$AM$55,_xlfn.XMATCH(RIGHT(MFG!$A74,4)*1,'Autumn term 2025'!$AA$6:$AA$55),_xlfn.XMATCH(MFG!Q$7,'Autumn term 2025'!$AB$5:$AM$5)),0)</f>
        <v>0</v>
      </c>
      <c r="R74" s="412">
        <f>IF(VLOOKUP($A74,Data!$A$4:$I$81,9,FALSE)="PRI",G74*$G$2+H74*$H$2+I74*$I$2+J74*$J$2+K74*$K$2+L74*$L$2+M74*$M$2+N74*$N$2+O74*$O$2+P74*$P$2+Q74*$Q$2,G74*$G$3+H74*$H$3+I74*$I$3+J74*$J$3+K74*$K$3+L74*$L$3+M74*$M$3+N74*$N$3+O74*$O$3+P74*$P$3+Q74*$Q$3)</f>
        <v>17898</v>
      </c>
      <c r="S74" s="145">
        <f>IF(VLOOKUP($A74,Data!$A$4:$I$81,9,FALSE)="PRI",G74*$G$4+H74*$H$4+I74*$I$4+J74*$J$4+K74*$K$4+L74*$L$4+M74*$M$4+N74*$N$4+O74*$O$4+P74*$P$4+Q74*$Q$4,G74*$G$5+H74*$H$5+I74*$I$5+J74*$J$5+K74*$K$5+L74*$L$5+M74*$M$5+N74*$N$5+O74*$O$5+P74*$P$5+Q74*$Q$5)</f>
        <v>18654</v>
      </c>
      <c r="T74" s="229">
        <f>IFERROR(VLOOKUP(RIGHT($A74,4)*1,'Autumn term 2025'!$U$6:$X$16,3,FALSE),0)</f>
        <v>0</v>
      </c>
      <c r="U74" s="230">
        <f>IFERROR(VLOOKUP(RIGHT($A74,4)*1,'Autumn term 2025'!$U$6:$X$16,2,FALSE),0)</f>
        <v>1</v>
      </c>
      <c r="V74" s="231">
        <f>IF(VLOOKUP($A74,Data!$A$3:$I$81,9,FALSE)="Pri",T74*$T$2+U74*$U$2,T74*$T$3+U74*$U$3)</f>
        <v>15593</v>
      </c>
      <c r="W74" s="232">
        <f>IF(VLOOKUP($A74,Data!$A$3:$I$81,9,FALSE)="Pri",T74*$T$4+U74*$U$4,T74*$T$5+U74*$U$5)</f>
        <v>15921</v>
      </c>
      <c r="X74" s="235">
        <f t="shared" si="21"/>
        <v>0</v>
      </c>
      <c r="Y74" s="399">
        <f t="shared" si="22"/>
        <v>63491</v>
      </c>
      <c r="Z74" s="234">
        <f t="shared" si="23"/>
        <v>63491</v>
      </c>
      <c r="AA74" s="46">
        <f t="shared" si="24"/>
        <v>64575</v>
      </c>
      <c r="AB74" s="400">
        <f t="shared" si="25"/>
        <v>0</v>
      </c>
      <c r="AC74" s="21">
        <f t="shared" si="26"/>
        <v>0</v>
      </c>
      <c r="AD74" s="11"/>
      <c r="AE74" s="11"/>
      <c r="AF74" s="146">
        <f>IFERROR(VLOOKUP(A74,'25-26 MFG'!A:D,3,FALSE),0)</f>
        <v>0</v>
      </c>
      <c r="AG74" s="75">
        <f>IFERROR(VLOOKUP(A74,'25-26 MFG'!A:D,4,FALSE),0)</f>
        <v>0</v>
      </c>
      <c r="AH74" s="224">
        <f t="shared" si="27"/>
        <v>0</v>
      </c>
    </row>
    <row r="75" spans="1:34">
      <c r="A75" s="8">
        <v>8504206</v>
      </c>
      <c r="B75" s="142" t="s">
        <v>40</v>
      </c>
      <c r="C75" s="16">
        <f>IFERROR(VLOOKUP(RIGHT($A75,4)*1,'Autumn term 2025'!$AA$6:$AM$57,12,FALSE),0)</f>
        <v>13</v>
      </c>
      <c r="D75" s="16">
        <f>SUMIF(APN!$A$3:$A$97,(RIGHT($A75,4)*1),APN!$K$3:$K$97)</f>
        <v>17.666666666666668</v>
      </c>
      <c r="E75" s="209">
        <f>D75*Values!$J$17</f>
        <v>106000</v>
      </c>
      <c r="F75" s="410">
        <f t="shared" si="20"/>
        <v>106000</v>
      </c>
      <c r="G75" s="402" cm="1">
        <f t="array" ref="G75">IFERROR(INDEX('Autumn term 2025'!$AB$6:$AM$55,_xlfn.XMATCH(RIGHT(MFG!$A75,4)*1,'Autumn term 2025'!$AA$6:$AA$55),_xlfn.XMATCH(MFG!G$7,'Autumn term 2025'!$AB$5:$AM$5)),0)</f>
        <v>0</v>
      </c>
      <c r="H75" s="403" cm="1">
        <f t="array" ref="H75">IFERROR(INDEX('Autumn term 2025'!$AB$6:$AM$55,_xlfn.XMATCH(RIGHT(MFG!$A75,4)*1,'Autumn term 2025'!$AA$6:$AA$55),_xlfn.XMATCH(MFG!H$7,'Autumn term 2025'!$AB$5:$AM$5)),0)</f>
        <v>0</v>
      </c>
      <c r="I75" s="403" cm="1">
        <f t="array" ref="I75">IFERROR(INDEX('Autumn term 2025'!$AB$6:$AM$55,_xlfn.XMATCH(RIGHT(MFG!$A75,4)*1,'Autumn term 2025'!$AA$6:$AA$55),_xlfn.XMATCH(MFG!I$7,'Autumn term 2025'!$AB$5:$AM$5)),0)</f>
        <v>0</v>
      </c>
      <c r="J75" s="403" cm="1">
        <f t="array" ref="J75">IFERROR(INDEX('Autumn term 2025'!$AB$6:$AM$55,_xlfn.XMATCH(RIGHT(MFG!$A75,4)*1,'Autumn term 2025'!$AA$6:$AA$55),_xlfn.XMATCH(MFG!J$7,'Autumn term 2025'!$AB$5:$AM$5)),0)</f>
        <v>0</v>
      </c>
      <c r="K75" s="403" cm="1">
        <f t="array" ref="K75">IFERROR(INDEX('Autumn term 2025'!$AB$6:$AM$55,_xlfn.XMATCH(RIGHT(MFG!$A75,4)*1,'Autumn term 2025'!$AA$6:$AA$55),_xlfn.XMATCH(MFG!K$7,'Autumn term 2025'!$AB$5:$AM$5)),0)</f>
        <v>0</v>
      </c>
      <c r="L75" s="403" cm="1">
        <f t="array" ref="L75">IFERROR(INDEX('Autumn term 2025'!$AB$6:$AM$55,_xlfn.XMATCH(RIGHT(MFG!$A75,4)*1,'Autumn term 2025'!$AA$6:$AA$55),_xlfn.XMATCH(MFG!L$7,'Autumn term 2025'!$AB$5:$AM$5)),0)</f>
        <v>0</v>
      </c>
      <c r="M75" s="403" cm="1">
        <f t="array" ref="M75">IFERROR(INDEX('Autumn term 2025'!$AB$6:$AM$55,_xlfn.XMATCH(RIGHT(MFG!$A75,4)*1,'Autumn term 2025'!$AA$6:$AA$55),_xlfn.XMATCH(MFG!M$7,'Autumn term 2025'!$AB$5:$AM$5)),0)</f>
        <v>0</v>
      </c>
      <c r="N75" s="403" cm="1">
        <f t="array" ref="N75">IFERROR(INDEX('Autumn term 2025'!$AB$6:$AM$55,_xlfn.XMATCH(RIGHT(MFG!$A75,4)*1,'Autumn term 2025'!$AA$6:$AA$55),_xlfn.XMATCH(MFG!N$7,'Autumn term 2025'!$AB$5:$AM$5)),0)</f>
        <v>0</v>
      </c>
      <c r="O75" s="403" cm="1">
        <f t="array" ref="O75">IFERROR(INDEX('Autumn term 2025'!$AB$6:$AM$55,_xlfn.XMATCH(RIGHT(MFG!$A75,4)*1,'Autumn term 2025'!$AA$6:$AA$55),_xlfn.XMATCH(MFG!O$7,'Autumn term 2025'!$AB$5:$AM$5)),0)</f>
        <v>0</v>
      </c>
      <c r="P75" s="403" cm="1">
        <f t="array" ref="P75">IFERROR(INDEX('Autumn term 2025'!$AB$6:$AM$55,_xlfn.XMATCH(RIGHT(MFG!$A75,4)*1,'Autumn term 2025'!$AA$6:$AA$55),_xlfn.XMATCH(MFG!P$7,'Autumn term 2025'!$AB$5:$AM$5)),0)</f>
        <v>13</v>
      </c>
      <c r="Q75" s="404" cm="1">
        <f t="array" ref="Q75">IFERROR(INDEX('Autumn term 2025'!$AB$6:$AM$55,_xlfn.XMATCH(RIGHT(MFG!$A75,4)*1,'Autumn term 2025'!$AA$6:$AA$55),_xlfn.XMATCH(MFG!Q$7,'Autumn term 2025'!$AB$5:$AM$5)),0)</f>
        <v>0</v>
      </c>
      <c r="R75" s="412">
        <f>IF(VLOOKUP($A75,Data!$A$4:$I$81,9,FALSE)="PRI",G75*$G$2+H75*$H$2+I75*$I$2+J75*$J$2+K75*$K$2+L75*$L$2+M75*$M$2+N75*$N$2+O75*$O$2+P75*$P$2+Q75*$Q$2,G75*$G$3+H75*$H$3+I75*$I$3+J75*$J$3+K75*$K$3+L75*$L$3+M75*$M$3+N75*$N$3+O75*$O$3+P75*$P$3+Q75*$Q$3)</f>
        <v>15080</v>
      </c>
      <c r="S75" s="145">
        <f>IF(VLOOKUP($A75,Data!$A$4:$I$81,9,FALSE)="PRI",G75*$G$4+H75*$H$4+I75*$I$4+J75*$J$4+K75*$K$4+L75*$L$4+M75*$M$4+N75*$N$4+O75*$O$4+P75*$P$4+Q75*$Q$4,G75*$G$5+H75*$H$5+I75*$I$5+J75*$J$5+K75*$K$5+L75*$L$5+M75*$M$5+N75*$N$5+O75*$O$5+P75*$P$5+Q75*$Q$5)</f>
        <v>17043</v>
      </c>
      <c r="T75" s="229">
        <f>IFERROR(VLOOKUP(RIGHT($A75,4)*1,'Autumn term 2025'!$U$6:$X$16,3,FALSE),0)</f>
        <v>0</v>
      </c>
      <c r="U75" s="230">
        <f>IFERROR(VLOOKUP(RIGHT($A75,4)*1,'Autumn term 2025'!$U$6:$X$16,2,FALSE),0)</f>
        <v>0</v>
      </c>
      <c r="V75" s="231">
        <f>IF(VLOOKUP($A75,Data!$A$3:$I$81,9,FALSE)="Pri",T75*$T$2+U75*$U$2,T75*$T$3+U75*$U$3)</f>
        <v>0</v>
      </c>
      <c r="W75" s="232">
        <f>IF(VLOOKUP($A75,Data!$A$3:$I$81,9,FALSE)="Pri",T75*$T$4+U75*$U$4,T75*$T$5+U75*$U$5)</f>
        <v>0</v>
      </c>
      <c r="X75" s="235">
        <f t="shared" si="21"/>
        <v>0</v>
      </c>
      <c r="Y75" s="399">
        <f t="shared" si="22"/>
        <v>121080</v>
      </c>
      <c r="Z75" s="234">
        <f t="shared" si="23"/>
        <v>121080</v>
      </c>
      <c r="AA75" s="46">
        <f t="shared" si="24"/>
        <v>123043</v>
      </c>
      <c r="AB75" s="400">
        <f t="shared" si="25"/>
        <v>0</v>
      </c>
      <c r="AC75" s="21">
        <f t="shared" si="26"/>
        <v>0</v>
      </c>
      <c r="AD75" s="11"/>
      <c r="AE75" s="11"/>
      <c r="AF75" s="146">
        <f>IFERROR(VLOOKUP(A75,'25-26 MFG'!A:D,3,FALSE),0)</f>
        <v>0</v>
      </c>
      <c r="AG75" s="75">
        <f>IFERROR(VLOOKUP(A75,'25-26 MFG'!A:D,4,FALSE),0)</f>
        <v>0</v>
      </c>
      <c r="AH75" s="224">
        <f t="shared" si="27"/>
        <v>0</v>
      </c>
    </row>
    <row r="76" spans="1:34">
      <c r="A76" s="8">
        <v>8504308</v>
      </c>
      <c r="B76" s="142" t="s">
        <v>41</v>
      </c>
      <c r="C76" s="16">
        <f>IFERROR(VLOOKUP(RIGHT($A76,4)*1,'Autumn term 2025'!$AA$6:$AM$57,12,FALSE),0)</f>
        <v>2</v>
      </c>
      <c r="D76" s="16">
        <f>SUMIF(APN!$A$3:$A$97,(RIGHT($A76,4)*1),APN!$K$3:$K$97)</f>
        <v>6</v>
      </c>
      <c r="E76" s="209">
        <f>D76*Values!$J$17</f>
        <v>36000</v>
      </c>
      <c r="F76" s="410">
        <f t="shared" si="20"/>
        <v>36000</v>
      </c>
      <c r="G76" s="402" cm="1">
        <f t="array" ref="G76">IFERROR(INDEX('Autumn term 2025'!$AB$6:$AM$55,_xlfn.XMATCH(RIGHT(MFG!$A76,4)*1,'Autumn term 2025'!$AA$6:$AA$55),_xlfn.XMATCH(MFG!G$7,'Autumn term 2025'!$AB$5:$AM$5)),0)</f>
        <v>0</v>
      </c>
      <c r="H76" s="403" cm="1">
        <f t="array" ref="H76">IFERROR(INDEX('Autumn term 2025'!$AB$6:$AM$55,_xlfn.XMATCH(RIGHT(MFG!$A76,4)*1,'Autumn term 2025'!$AA$6:$AA$55),_xlfn.XMATCH(MFG!H$7,'Autumn term 2025'!$AB$5:$AM$5)),0)</f>
        <v>2</v>
      </c>
      <c r="I76" s="403" cm="1">
        <f t="array" ref="I76">IFERROR(INDEX('Autumn term 2025'!$AB$6:$AM$55,_xlfn.XMATCH(RIGHT(MFG!$A76,4)*1,'Autumn term 2025'!$AA$6:$AA$55),_xlfn.XMATCH(MFG!I$7,'Autumn term 2025'!$AB$5:$AM$5)),0)</f>
        <v>0</v>
      </c>
      <c r="J76" s="403" cm="1">
        <f t="array" ref="J76">IFERROR(INDEX('Autumn term 2025'!$AB$6:$AM$55,_xlfn.XMATCH(RIGHT(MFG!$A76,4)*1,'Autumn term 2025'!$AA$6:$AA$55),_xlfn.XMATCH(MFG!J$7,'Autumn term 2025'!$AB$5:$AM$5)),0)</f>
        <v>0</v>
      </c>
      <c r="K76" s="403" cm="1">
        <f t="array" ref="K76">IFERROR(INDEX('Autumn term 2025'!$AB$6:$AM$55,_xlfn.XMATCH(RIGHT(MFG!$A76,4)*1,'Autumn term 2025'!$AA$6:$AA$55),_xlfn.XMATCH(MFG!K$7,'Autumn term 2025'!$AB$5:$AM$5)),0)</f>
        <v>0</v>
      </c>
      <c r="L76" s="403" cm="1">
        <f t="array" ref="L76">IFERROR(INDEX('Autumn term 2025'!$AB$6:$AM$55,_xlfn.XMATCH(RIGHT(MFG!$A76,4)*1,'Autumn term 2025'!$AA$6:$AA$55),_xlfn.XMATCH(MFG!L$7,'Autumn term 2025'!$AB$5:$AM$5)),0)</f>
        <v>0</v>
      </c>
      <c r="M76" s="403" cm="1">
        <f t="array" ref="M76">IFERROR(INDEX('Autumn term 2025'!$AB$6:$AM$55,_xlfn.XMATCH(RIGHT(MFG!$A76,4)*1,'Autumn term 2025'!$AA$6:$AA$55),_xlfn.XMATCH(MFG!M$7,'Autumn term 2025'!$AB$5:$AM$5)),0)</f>
        <v>0</v>
      </c>
      <c r="N76" s="403" cm="1">
        <f t="array" ref="N76">IFERROR(INDEX('Autumn term 2025'!$AB$6:$AM$55,_xlfn.XMATCH(RIGHT(MFG!$A76,4)*1,'Autumn term 2025'!$AA$6:$AA$55),_xlfn.XMATCH(MFG!N$7,'Autumn term 2025'!$AB$5:$AM$5)),0)</f>
        <v>0</v>
      </c>
      <c r="O76" s="403" cm="1">
        <f t="array" ref="O76">IFERROR(INDEX('Autumn term 2025'!$AB$6:$AM$55,_xlfn.XMATCH(RIGHT(MFG!$A76,4)*1,'Autumn term 2025'!$AA$6:$AA$55),_xlfn.XMATCH(MFG!O$7,'Autumn term 2025'!$AB$5:$AM$5)),0)</f>
        <v>0</v>
      </c>
      <c r="P76" s="403" cm="1">
        <f t="array" ref="P76">IFERROR(INDEX('Autumn term 2025'!$AB$6:$AM$55,_xlfn.XMATCH(RIGHT(MFG!$A76,4)*1,'Autumn term 2025'!$AA$6:$AA$55),_xlfn.XMATCH(MFG!P$7,'Autumn term 2025'!$AB$5:$AM$5)),0)</f>
        <v>0</v>
      </c>
      <c r="Q76" s="404" cm="1">
        <f t="array" ref="Q76">IFERROR(INDEX('Autumn term 2025'!$AB$6:$AM$55,_xlfn.XMATCH(RIGHT(MFG!$A76,4)*1,'Autumn term 2025'!$AA$6:$AA$55),_xlfn.XMATCH(MFG!Q$7,'Autumn term 2025'!$AB$5:$AM$5)),0)</f>
        <v>0</v>
      </c>
      <c r="R76" s="412">
        <f>IF(VLOOKUP($A76,Data!$A$4:$I$81,9,FALSE)="PRI",G76*$G$2+H76*$H$2+I76*$I$2+J76*$J$2+K76*$K$2+L76*$L$2+M76*$M$2+N76*$N$2+O76*$O$2+P76*$P$2+Q76*$Q$2,G76*$G$3+H76*$H$3+I76*$I$3+J76*$J$3+K76*$K$3+L76*$L$3+M76*$M$3+N76*$N$3+O76*$O$3+P76*$P$3+Q76*$Q$3)</f>
        <v>11932</v>
      </c>
      <c r="S76" s="145">
        <f>IF(VLOOKUP($A76,Data!$A$4:$I$81,9,FALSE)="PRI",G76*$G$4+H76*$H$4+I76*$I$4+J76*$J$4+K76*$K$4+L76*$L$4+M76*$M$4+N76*$N$4+O76*$O$4+P76*$P$4+Q76*$Q$4,G76*$G$5+H76*$H$5+I76*$I$5+J76*$J$5+K76*$K$5+L76*$L$5+M76*$M$5+N76*$N$5+O76*$O$5+P76*$P$5+Q76*$Q$5)</f>
        <v>12436</v>
      </c>
      <c r="T76" s="229">
        <f>IFERROR(VLOOKUP(RIGHT($A76,4)*1,'Autumn term 2025'!$U$6:$X$16,3,FALSE),0)</f>
        <v>0</v>
      </c>
      <c r="U76" s="230">
        <f>IFERROR(VLOOKUP(RIGHT($A76,4)*1,'Autumn term 2025'!$U$6:$X$16,2,FALSE),0)</f>
        <v>0</v>
      </c>
      <c r="V76" s="231">
        <f>IF(VLOOKUP($A76,Data!$A$3:$I$81,9,FALSE)="Pri",T76*$T$2+U76*$U$2,T76*$T$3+U76*$U$3)</f>
        <v>0</v>
      </c>
      <c r="W76" s="232">
        <f>IF(VLOOKUP($A76,Data!$A$3:$I$81,9,FALSE)="Pri",T76*$T$4+U76*$U$4,T76*$T$5+U76*$U$5)</f>
        <v>0</v>
      </c>
      <c r="X76" s="235">
        <f t="shared" si="21"/>
        <v>2511</v>
      </c>
      <c r="Y76" s="399">
        <f t="shared" si="22"/>
        <v>52954</v>
      </c>
      <c r="Z76" s="234">
        <f t="shared" si="23"/>
        <v>52954</v>
      </c>
      <c r="AA76" s="46">
        <f t="shared" si="24"/>
        <v>48436</v>
      </c>
      <c r="AB76" s="400">
        <f t="shared" si="25"/>
        <v>4518</v>
      </c>
      <c r="AC76" s="21">
        <f t="shared" si="26"/>
        <v>2259</v>
      </c>
      <c r="AD76" s="11"/>
      <c r="AE76" s="11"/>
      <c r="AF76" s="146">
        <f>IFERROR(VLOOKUP(A76,'25-26 MFG'!A:D,3,FALSE),0)</f>
        <v>7533</v>
      </c>
      <c r="AG76" s="75">
        <f>IFERROR(VLOOKUP(A76,'25-26 MFG'!A:D,4,FALSE),0)</f>
        <v>2511</v>
      </c>
      <c r="AH76" s="224">
        <f t="shared" si="27"/>
        <v>-252</v>
      </c>
    </row>
    <row r="77" spans="1:34">
      <c r="A77" s="8">
        <v>8504310</v>
      </c>
      <c r="B77" s="142" t="s">
        <v>42</v>
      </c>
      <c r="C77" s="16">
        <f>IFERROR(VLOOKUP(RIGHT($A77,4)*1,'Autumn term 2025'!$AA$6:$AM$57,12,FALSE),0)</f>
        <v>4</v>
      </c>
      <c r="D77" s="16">
        <f>SUMIF(APN!$A$3:$A$97,(RIGHT($A77,4)*1),APN!$K$3:$K$97)</f>
        <v>8.5</v>
      </c>
      <c r="E77" s="209">
        <f>D77*Values!$J$17</f>
        <v>51000</v>
      </c>
      <c r="F77" s="410">
        <f t="shared" ref="F77:F85" si="28">D77*place</f>
        <v>51000</v>
      </c>
      <c r="G77" s="402" cm="1">
        <f t="array" ref="G77">IFERROR(INDEX('Autumn term 2025'!$AB$6:$AM$55,_xlfn.XMATCH(RIGHT(MFG!$A77,4)*1,'Autumn term 2025'!$AA$6:$AA$55),_xlfn.XMATCH(MFG!G$7,'Autumn term 2025'!$AB$5:$AM$5)),0)</f>
        <v>0</v>
      </c>
      <c r="H77" s="403" cm="1">
        <f t="array" ref="H77">IFERROR(INDEX('Autumn term 2025'!$AB$6:$AM$55,_xlfn.XMATCH(RIGHT(MFG!$A77,4)*1,'Autumn term 2025'!$AA$6:$AA$55),_xlfn.XMATCH(MFG!H$7,'Autumn term 2025'!$AB$5:$AM$5)),0)</f>
        <v>0</v>
      </c>
      <c r="I77" s="403" cm="1">
        <f t="array" ref="I77">IFERROR(INDEX('Autumn term 2025'!$AB$6:$AM$55,_xlfn.XMATCH(RIGHT(MFG!$A77,4)*1,'Autumn term 2025'!$AA$6:$AA$55),_xlfn.XMATCH(MFG!I$7,'Autumn term 2025'!$AB$5:$AM$5)),0)</f>
        <v>0</v>
      </c>
      <c r="J77" s="403" cm="1">
        <f t="array" ref="J77">IFERROR(INDEX('Autumn term 2025'!$AB$6:$AM$55,_xlfn.XMATCH(RIGHT(MFG!$A77,4)*1,'Autumn term 2025'!$AA$6:$AA$55),_xlfn.XMATCH(MFG!J$7,'Autumn term 2025'!$AB$5:$AM$5)),0)</f>
        <v>0</v>
      </c>
      <c r="K77" s="403" cm="1">
        <f t="array" ref="K77">IFERROR(INDEX('Autumn term 2025'!$AB$6:$AM$55,_xlfn.XMATCH(RIGHT(MFG!$A77,4)*1,'Autumn term 2025'!$AA$6:$AA$55),_xlfn.XMATCH(MFG!K$7,'Autumn term 2025'!$AB$5:$AM$5)),0)</f>
        <v>0</v>
      </c>
      <c r="L77" s="403" cm="1">
        <f t="array" ref="L77">IFERROR(INDEX('Autumn term 2025'!$AB$6:$AM$55,_xlfn.XMATCH(RIGHT(MFG!$A77,4)*1,'Autumn term 2025'!$AA$6:$AA$55),_xlfn.XMATCH(MFG!L$7,'Autumn term 2025'!$AB$5:$AM$5)),0)</f>
        <v>4</v>
      </c>
      <c r="M77" s="403" cm="1">
        <f t="array" ref="M77">IFERROR(INDEX('Autumn term 2025'!$AB$6:$AM$55,_xlfn.XMATCH(RIGHT(MFG!$A77,4)*1,'Autumn term 2025'!$AA$6:$AA$55),_xlfn.XMATCH(MFG!M$7,'Autumn term 2025'!$AB$5:$AM$5)),0)</f>
        <v>0</v>
      </c>
      <c r="N77" s="403" cm="1">
        <f t="array" ref="N77">IFERROR(INDEX('Autumn term 2025'!$AB$6:$AM$55,_xlfn.XMATCH(RIGHT(MFG!$A77,4)*1,'Autumn term 2025'!$AA$6:$AA$55),_xlfn.XMATCH(MFG!N$7,'Autumn term 2025'!$AB$5:$AM$5)),0)</f>
        <v>0</v>
      </c>
      <c r="O77" s="403" cm="1">
        <f t="array" ref="O77">IFERROR(INDEX('Autumn term 2025'!$AB$6:$AM$55,_xlfn.XMATCH(RIGHT(MFG!$A77,4)*1,'Autumn term 2025'!$AA$6:$AA$55),_xlfn.XMATCH(MFG!O$7,'Autumn term 2025'!$AB$5:$AM$5)),0)</f>
        <v>0</v>
      </c>
      <c r="P77" s="403" cm="1">
        <f t="array" ref="P77">IFERROR(INDEX('Autumn term 2025'!$AB$6:$AM$55,_xlfn.XMATCH(RIGHT(MFG!$A77,4)*1,'Autumn term 2025'!$AA$6:$AA$55),_xlfn.XMATCH(MFG!P$7,'Autumn term 2025'!$AB$5:$AM$5)),0)</f>
        <v>0</v>
      </c>
      <c r="Q77" s="404" cm="1">
        <f t="array" ref="Q77">IFERROR(INDEX('Autumn term 2025'!$AB$6:$AM$55,_xlfn.XMATCH(RIGHT(MFG!$A77,4)*1,'Autumn term 2025'!$AA$6:$AA$55),_xlfn.XMATCH(MFG!Q$7,'Autumn term 2025'!$AB$5:$AM$5)),0)</f>
        <v>0</v>
      </c>
      <c r="R77" s="412">
        <f>IF(VLOOKUP($A77,Data!$A$4:$I$81,9,FALSE)="PRI",G77*$G$2+H77*$H$2+I77*$I$2+J77*$J$2+K77*$K$2+L77*$L$2+M77*$M$2+N77*$N$2+O77*$O$2+P77*$P$2+Q77*$Q$2,G77*$G$3+H77*$H$3+I77*$I$3+J77*$J$3+K77*$K$3+L77*$L$3+M77*$M$3+N77*$N$3+O77*$O$3+P77*$P$3+Q77*$Q$3)</f>
        <v>57128</v>
      </c>
      <c r="S77" s="145">
        <f>IF(VLOOKUP($A77,Data!$A$4:$I$81,9,FALSE)="PRI",G77*$G$4+H77*$H$4+I77*$I$4+J77*$J$4+K77*$K$4+L77*$L$4+M77*$M$4+N77*$N$4+O77*$O$4+P77*$P$4+Q77*$Q$4,G77*$G$5+H77*$H$5+I77*$I$5+J77*$J$5+K77*$K$5+L77*$L$5+M77*$M$5+N77*$N$5+O77*$O$5+P77*$P$5+Q77*$Q$5)</f>
        <v>58832</v>
      </c>
      <c r="T77" s="229">
        <f>IFERROR(VLOOKUP(RIGHT($A77,4)*1,'Autumn term 2025'!$U$6:$X$16,3,FALSE),0)</f>
        <v>0</v>
      </c>
      <c r="U77" s="230">
        <f>IFERROR(VLOOKUP(RIGHT($A77,4)*1,'Autumn term 2025'!$U$6:$X$16,2,FALSE),0)</f>
        <v>0</v>
      </c>
      <c r="V77" s="231">
        <f>IF(VLOOKUP($A77,Data!$A$3:$I$81,9,FALSE)="Pri",T77*$T$2+U77*$U$2,T77*$T$3+U77*$U$3)</f>
        <v>0</v>
      </c>
      <c r="W77" s="232">
        <f>IF(VLOOKUP($A77,Data!$A$3:$I$81,9,FALSE)="Pri",T77*$T$4+U77*$U$4,T77*$T$5+U77*$U$5)</f>
        <v>0</v>
      </c>
      <c r="X77" s="235">
        <f t="shared" ref="X77:X85" si="29">AG77</f>
        <v>0</v>
      </c>
      <c r="Y77" s="399">
        <f t="shared" ref="Y77:Y85" si="30">E77+R77+V77+(X77*C77)</f>
        <v>108128</v>
      </c>
      <c r="Z77" s="234">
        <f t="shared" ref="Z77:Z85" si="31">(Y77*1)</f>
        <v>108128</v>
      </c>
      <c r="AA77" s="46">
        <f t="shared" ref="AA77:AA85" si="32">F77+S77+W77</f>
        <v>109832</v>
      </c>
      <c r="AB77" s="400">
        <f t="shared" ref="AB77:AB85" si="33">MAX(0,Z77-AA77)</f>
        <v>0</v>
      </c>
      <c r="AC77" s="21">
        <f t="shared" ref="AC77:AC85" si="34">IFERROR(ROUND(AB77/C77,0),0)</f>
        <v>0</v>
      </c>
      <c r="AD77" s="11"/>
      <c r="AE77" s="11"/>
      <c r="AF77" s="146">
        <f>IFERROR(VLOOKUP(A77,'25-26 MFG'!A:D,3,FALSE),0)</f>
        <v>0</v>
      </c>
      <c r="AG77" s="75">
        <f>IFERROR(VLOOKUP(A77,'25-26 MFG'!A:D,4,FALSE),0)</f>
        <v>0</v>
      </c>
      <c r="AH77" s="224">
        <f t="shared" ref="AH77:AH85" si="35">AC77-AG77</f>
        <v>0</v>
      </c>
    </row>
    <row r="78" spans="1:34">
      <c r="A78" s="8">
        <v>8504511</v>
      </c>
      <c r="B78" s="142" t="s">
        <v>43</v>
      </c>
      <c r="C78" s="16">
        <f>IFERROR(VLOOKUP(RIGHT($A78,4)*1,'Autumn term 2025'!$AA$6:$AM$57,12,FALSE),0)</f>
        <v>13</v>
      </c>
      <c r="D78" s="16">
        <f>SUMIF(APN!$A$3:$A$97,(RIGHT($A78,4)*1),APN!$K$3:$K$97)</f>
        <v>12</v>
      </c>
      <c r="E78" s="209">
        <f>D78*Values!$J$17</f>
        <v>72000</v>
      </c>
      <c r="F78" s="410">
        <f t="shared" si="28"/>
        <v>72000</v>
      </c>
      <c r="G78" s="402" cm="1">
        <f t="array" ref="G78">IFERROR(INDEX('Autumn term 2025'!$AB$6:$AM$55,_xlfn.XMATCH(RIGHT(MFG!$A78,4)*1,'Autumn term 2025'!$AA$6:$AA$55),_xlfn.XMATCH(MFG!G$7,'Autumn term 2025'!$AB$5:$AM$5)),0)</f>
        <v>13</v>
      </c>
      <c r="H78" s="403" cm="1">
        <f t="array" ref="H78">IFERROR(INDEX('Autumn term 2025'!$AB$6:$AM$55,_xlfn.XMATCH(RIGHT(MFG!$A78,4)*1,'Autumn term 2025'!$AA$6:$AA$55),_xlfn.XMATCH(MFG!H$7,'Autumn term 2025'!$AB$5:$AM$5)),0)</f>
        <v>0</v>
      </c>
      <c r="I78" s="403" cm="1">
        <f t="array" ref="I78">IFERROR(INDEX('Autumn term 2025'!$AB$6:$AM$55,_xlfn.XMATCH(RIGHT(MFG!$A78,4)*1,'Autumn term 2025'!$AA$6:$AA$55),_xlfn.XMATCH(MFG!I$7,'Autumn term 2025'!$AB$5:$AM$5)),0)</f>
        <v>0</v>
      </c>
      <c r="J78" s="403" cm="1">
        <f t="array" ref="J78">IFERROR(INDEX('Autumn term 2025'!$AB$6:$AM$55,_xlfn.XMATCH(RIGHT(MFG!$A78,4)*1,'Autumn term 2025'!$AA$6:$AA$55),_xlfn.XMATCH(MFG!J$7,'Autumn term 2025'!$AB$5:$AM$5)),0)</f>
        <v>0</v>
      </c>
      <c r="K78" s="403" cm="1">
        <f t="array" ref="K78">IFERROR(INDEX('Autumn term 2025'!$AB$6:$AM$55,_xlfn.XMATCH(RIGHT(MFG!$A78,4)*1,'Autumn term 2025'!$AA$6:$AA$55),_xlfn.XMATCH(MFG!K$7,'Autumn term 2025'!$AB$5:$AM$5)),0)</f>
        <v>0</v>
      </c>
      <c r="L78" s="403" cm="1">
        <f t="array" ref="L78">IFERROR(INDEX('Autumn term 2025'!$AB$6:$AM$55,_xlfn.XMATCH(RIGHT(MFG!$A78,4)*1,'Autumn term 2025'!$AA$6:$AA$55),_xlfn.XMATCH(MFG!L$7,'Autumn term 2025'!$AB$5:$AM$5)),0)</f>
        <v>0</v>
      </c>
      <c r="M78" s="403" cm="1">
        <f t="array" ref="M78">IFERROR(INDEX('Autumn term 2025'!$AB$6:$AM$55,_xlfn.XMATCH(RIGHT(MFG!$A78,4)*1,'Autumn term 2025'!$AA$6:$AA$55),_xlfn.XMATCH(MFG!M$7,'Autumn term 2025'!$AB$5:$AM$5)),0)</f>
        <v>0</v>
      </c>
      <c r="N78" s="403" cm="1">
        <f t="array" ref="N78">IFERROR(INDEX('Autumn term 2025'!$AB$6:$AM$55,_xlfn.XMATCH(RIGHT(MFG!$A78,4)*1,'Autumn term 2025'!$AA$6:$AA$55),_xlfn.XMATCH(MFG!N$7,'Autumn term 2025'!$AB$5:$AM$5)),0)</f>
        <v>0</v>
      </c>
      <c r="O78" s="403" cm="1">
        <f t="array" ref="O78">IFERROR(INDEX('Autumn term 2025'!$AB$6:$AM$55,_xlfn.XMATCH(RIGHT(MFG!$A78,4)*1,'Autumn term 2025'!$AA$6:$AA$55),_xlfn.XMATCH(MFG!O$7,'Autumn term 2025'!$AB$5:$AM$5)),0)</f>
        <v>0</v>
      </c>
      <c r="P78" s="403" cm="1">
        <f t="array" ref="P78">IFERROR(INDEX('Autumn term 2025'!$AB$6:$AM$55,_xlfn.XMATCH(RIGHT(MFG!$A78,4)*1,'Autumn term 2025'!$AA$6:$AA$55),_xlfn.XMATCH(MFG!P$7,'Autumn term 2025'!$AB$5:$AM$5)),0)</f>
        <v>0</v>
      </c>
      <c r="Q78" s="404" cm="1">
        <f t="array" ref="Q78">IFERROR(INDEX('Autumn term 2025'!$AB$6:$AM$55,_xlfn.XMATCH(RIGHT(MFG!$A78,4)*1,'Autumn term 2025'!$AA$6:$AA$55),_xlfn.XMATCH(MFG!Q$7,'Autumn term 2025'!$AB$5:$AM$5)),0)</f>
        <v>0</v>
      </c>
      <c r="R78" s="412">
        <f>IF(VLOOKUP($A78,Data!$A$4:$I$81,9,FALSE)="PRI",G78*$G$2+H78*$H$2+I78*$I$2+J78*$J$2+K78*$K$2+L78*$L$2+M78*$M$2+N78*$N$2+O78*$O$2+P78*$P$2+Q78*$Q$2,G78*$G$3+H78*$H$3+I78*$I$3+J78*$J$3+K78*$K$3+L78*$L$3+M78*$M$3+N78*$N$3+O78*$O$3+P78*$P$3+Q78*$Q$3)</f>
        <v>128856</v>
      </c>
      <c r="S78" s="145">
        <f>IF(VLOOKUP($A78,Data!$A$4:$I$81,9,FALSE)="PRI",G78*$G$4+H78*$H$4+I78*$I$4+J78*$J$4+K78*$K$4+L78*$L$4+M78*$M$4+N78*$N$4+O78*$O$4+P78*$P$4+Q78*$Q$4,G78*$G$5+H78*$H$5+I78*$I$5+J78*$J$5+K78*$K$5+L78*$L$5+M78*$M$5+N78*$N$5+O78*$O$5+P78*$P$5+Q78*$Q$5)</f>
        <v>133211</v>
      </c>
      <c r="T78" s="229">
        <f>IFERROR(VLOOKUP(RIGHT($A78,4)*1,'Autumn term 2025'!$U$6:$X$16,3,FALSE),0)</f>
        <v>0</v>
      </c>
      <c r="U78" s="230">
        <f>IFERROR(VLOOKUP(RIGHT($A78,4)*1,'Autumn term 2025'!$U$6:$X$16,2,FALSE),0)</f>
        <v>0</v>
      </c>
      <c r="V78" s="231">
        <f>IF(VLOOKUP($A78,Data!$A$3:$I$81,9,FALSE)="Pri",T78*$T$2+U78*$U$2,T78*$T$3+U78*$U$3)</f>
        <v>0</v>
      </c>
      <c r="W78" s="232">
        <f>IF(VLOOKUP($A78,Data!$A$3:$I$81,9,FALSE)="Pri",T78*$T$4+U78*$U$4,T78*$T$5+U78*$U$5)</f>
        <v>0</v>
      </c>
      <c r="X78" s="235">
        <f t="shared" si="29"/>
        <v>0</v>
      </c>
      <c r="Y78" s="399">
        <f t="shared" si="30"/>
        <v>200856</v>
      </c>
      <c r="Z78" s="234">
        <f t="shared" si="31"/>
        <v>200856</v>
      </c>
      <c r="AA78" s="46">
        <f t="shared" si="32"/>
        <v>205211</v>
      </c>
      <c r="AB78" s="400">
        <f t="shared" si="33"/>
        <v>0</v>
      </c>
      <c r="AC78" s="21">
        <f t="shared" si="34"/>
        <v>0</v>
      </c>
      <c r="AD78" s="11"/>
      <c r="AE78" s="11"/>
      <c r="AF78" s="146">
        <f>IFERROR(VLOOKUP(A78,'25-26 MFG'!A:D,3,FALSE),0)</f>
        <v>0</v>
      </c>
      <c r="AG78" s="75">
        <f>IFERROR(VLOOKUP(A78,'25-26 MFG'!A:D,4,FALSE),0)</f>
        <v>0</v>
      </c>
      <c r="AH78" s="224">
        <f t="shared" si="35"/>
        <v>0</v>
      </c>
    </row>
    <row r="79" spans="1:34">
      <c r="A79" s="8">
        <v>8505205</v>
      </c>
      <c r="B79" s="142" t="s">
        <v>178</v>
      </c>
      <c r="C79" s="16">
        <f>IFERROR(VLOOKUP(RIGHT($A79,4)*1,'Autumn term 2025'!$AA$6:$AM$57,12,FALSE),0)</f>
        <v>0</v>
      </c>
      <c r="D79" s="16">
        <f>SUMIF(APN!$A$3:$A$97,(RIGHT($A79,4)*1),APN!$K$3:$K$97)</f>
        <v>0</v>
      </c>
      <c r="E79" s="209">
        <f>D79*Values!$J$17</f>
        <v>0</v>
      </c>
      <c r="F79" s="410">
        <f t="shared" si="28"/>
        <v>0</v>
      </c>
      <c r="G79" s="402" cm="1">
        <f t="array" ref="G79">IFERROR(INDEX('Autumn term 2025'!$AB$6:$AM$55,_xlfn.XMATCH(RIGHT(MFG!$A79,4)*1,'Autumn term 2025'!$AA$6:$AA$55),_xlfn.XMATCH(MFG!G$7,'Autumn term 2025'!$AB$5:$AM$5)),0)</f>
        <v>0</v>
      </c>
      <c r="H79" s="403" cm="1">
        <f t="array" ref="H79">IFERROR(INDEX('Autumn term 2025'!$AB$6:$AM$55,_xlfn.XMATCH(RIGHT(MFG!$A79,4)*1,'Autumn term 2025'!$AA$6:$AA$55),_xlfn.XMATCH(MFG!H$7,'Autumn term 2025'!$AB$5:$AM$5)),0)</f>
        <v>0</v>
      </c>
      <c r="I79" s="403" cm="1">
        <f t="array" ref="I79">IFERROR(INDEX('Autumn term 2025'!$AB$6:$AM$55,_xlfn.XMATCH(RIGHT(MFG!$A79,4)*1,'Autumn term 2025'!$AA$6:$AA$55),_xlfn.XMATCH(MFG!I$7,'Autumn term 2025'!$AB$5:$AM$5)),0)</f>
        <v>0</v>
      </c>
      <c r="J79" s="403" cm="1">
        <f t="array" ref="J79">IFERROR(INDEX('Autumn term 2025'!$AB$6:$AM$55,_xlfn.XMATCH(RIGHT(MFG!$A79,4)*1,'Autumn term 2025'!$AA$6:$AA$55),_xlfn.XMATCH(MFG!J$7,'Autumn term 2025'!$AB$5:$AM$5)),0)</f>
        <v>0</v>
      </c>
      <c r="K79" s="403" cm="1">
        <f t="array" ref="K79">IFERROR(INDEX('Autumn term 2025'!$AB$6:$AM$55,_xlfn.XMATCH(RIGHT(MFG!$A79,4)*1,'Autumn term 2025'!$AA$6:$AA$55),_xlfn.XMATCH(MFG!K$7,'Autumn term 2025'!$AB$5:$AM$5)),0)</f>
        <v>0</v>
      </c>
      <c r="L79" s="403" cm="1">
        <f t="array" ref="L79">IFERROR(INDEX('Autumn term 2025'!$AB$6:$AM$55,_xlfn.XMATCH(RIGHT(MFG!$A79,4)*1,'Autumn term 2025'!$AA$6:$AA$55),_xlfn.XMATCH(MFG!L$7,'Autumn term 2025'!$AB$5:$AM$5)),0)</f>
        <v>0</v>
      </c>
      <c r="M79" s="403" cm="1">
        <f t="array" ref="M79">IFERROR(INDEX('Autumn term 2025'!$AB$6:$AM$55,_xlfn.XMATCH(RIGHT(MFG!$A79,4)*1,'Autumn term 2025'!$AA$6:$AA$55),_xlfn.XMATCH(MFG!M$7,'Autumn term 2025'!$AB$5:$AM$5)),0)</f>
        <v>0</v>
      </c>
      <c r="N79" s="403" cm="1">
        <f t="array" ref="N79">IFERROR(INDEX('Autumn term 2025'!$AB$6:$AM$55,_xlfn.XMATCH(RIGHT(MFG!$A79,4)*1,'Autumn term 2025'!$AA$6:$AA$55),_xlfn.XMATCH(MFG!N$7,'Autumn term 2025'!$AB$5:$AM$5)),0)</f>
        <v>0</v>
      </c>
      <c r="O79" s="403" cm="1">
        <f t="array" ref="O79">IFERROR(INDEX('Autumn term 2025'!$AB$6:$AM$55,_xlfn.XMATCH(RIGHT(MFG!$A79,4)*1,'Autumn term 2025'!$AA$6:$AA$55),_xlfn.XMATCH(MFG!O$7,'Autumn term 2025'!$AB$5:$AM$5)),0)</f>
        <v>0</v>
      </c>
      <c r="P79" s="403" cm="1">
        <f t="array" ref="P79">IFERROR(INDEX('Autumn term 2025'!$AB$6:$AM$55,_xlfn.XMATCH(RIGHT(MFG!$A79,4)*1,'Autumn term 2025'!$AA$6:$AA$55),_xlfn.XMATCH(MFG!P$7,'Autumn term 2025'!$AB$5:$AM$5)),0)</f>
        <v>0</v>
      </c>
      <c r="Q79" s="404" cm="1">
        <f t="array" ref="Q79">IFERROR(INDEX('Autumn term 2025'!$AB$6:$AM$55,_xlfn.XMATCH(RIGHT(MFG!$A79,4)*1,'Autumn term 2025'!$AA$6:$AA$55),_xlfn.XMATCH(MFG!Q$7,'Autumn term 2025'!$AB$5:$AM$5)),0)</f>
        <v>0</v>
      </c>
      <c r="R79" s="412">
        <f>IF(VLOOKUP($A79,Data!$A$4:$I$81,9,FALSE)="PRI",G79*$G$2+H79*$H$2+I79*$I$2+J79*$J$2+K79*$K$2+L79*$L$2+M79*$M$2+N79*$N$2+O79*$O$2+P79*$P$2+Q79*$Q$2,G79*$G$3+H79*$H$3+I79*$I$3+J79*$J$3+K79*$K$3+L79*$L$3+M79*$M$3+N79*$N$3+O79*$O$3+P79*$P$3+Q79*$Q$3)</f>
        <v>0</v>
      </c>
      <c r="S79" s="145">
        <f>IF(VLOOKUP($A79,Data!$A$4:$I$81,9,FALSE)="PRI",G79*$G$4+H79*$H$4+I79*$I$4+J79*$J$4+K79*$K$4+L79*$L$4+M79*$M$4+N79*$N$4+O79*$O$4+P79*$P$4+Q79*$Q$4,G79*$G$5+H79*$H$5+I79*$I$5+J79*$J$5+K79*$K$5+L79*$L$5+M79*$M$5+N79*$N$5+O79*$O$5+P79*$P$5+Q79*$Q$5)</f>
        <v>0</v>
      </c>
      <c r="T79" s="229">
        <f>IFERROR(VLOOKUP(RIGHT($A79,4)*1,'Autumn term 2025'!$U$6:$X$16,3,FALSE),0)</f>
        <v>0</v>
      </c>
      <c r="U79" s="230">
        <f>IFERROR(VLOOKUP(RIGHT($A79,4)*1,'Autumn term 2025'!$U$6:$X$16,2,FALSE),0)</f>
        <v>0</v>
      </c>
      <c r="V79" s="231">
        <f>IF(VLOOKUP($A79,Data!$A$3:$I$81,9,FALSE)="Pri",T79*$T$2+U79*$U$2,T79*$T$3+U79*$U$3)</f>
        <v>0</v>
      </c>
      <c r="W79" s="232">
        <f>IF(VLOOKUP($A79,Data!$A$3:$I$81,9,FALSE)="Pri",T79*$T$4+U79*$U$4,T79*$T$5+U79*$U$5)</f>
        <v>0</v>
      </c>
      <c r="X79" s="235">
        <f t="shared" si="29"/>
        <v>0</v>
      </c>
      <c r="Y79" s="399">
        <f t="shared" si="30"/>
        <v>0</v>
      </c>
      <c r="Z79" s="234">
        <f t="shared" si="31"/>
        <v>0</v>
      </c>
      <c r="AA79" s="46">
        <f t="shared" si="32"/>
        <v>0</v>
      </c>
      <c r="AB79" s="400">
        <f t="shared" si="33"/>
        <v>0</v>
      </c>
      <c r="AC79" s="21">
        <f t="shared" si="34"/>
        <v>0</v>
      </c>
      <c r="AD79" s="11"/>
      <c r="AE79" s="11"/>
      <c r="AF79" s="146">
        <f>IFERROR(VLOOKUP(A79,'25-26 MFG'!A:D,3,FALSE),0)</f>
        <v>0</v>
      </c>
      <c r="AG79" s="75">
        <f>IFERROR(VLOOKUP(A79,'25-26 MFG'!A:D,4,FALSE),0)</f>
        <v>0</v>
      </c>
      <c r="AH79" s="224">
        <f t="shared" si="35"/>
        <v>0</v>
      </c>
    </row>
    <row r="80" spans="1:34">
      <c r="A80" s="8">
        <v>8505208</v>
      </c>
      <c r="B80" s="142" t="s">
        <v>44</v>
      </c>
      <c r="C80" s="16">
        <f>IFERROR(VLOOKUP(RIGHT($A80,4)*1,'Autumn term 2025'!$AA$6:$AM$57,12,FALSE),0)</f>
        <v>15</v>
      </c>
      <c r="D80" s="16">
        <f>SUMIF(APN!$A$3:$A$97,(RIGHT($A80,4)*1),APN!$K$3:$K$97)</f>
        <v>14</v>
      </c>
      <c r="E80" s="209">
        <f>D80*Values!$J$17</f>
        <v>84000</v>
      </c>
      <c r="F80" s="410">
        <f t="shared" si="28"/>
        <v>84000</v>
      </c>
      <c r="G80" s="402" cm="1">
        <f t="array" ref="G80">IFERROR(INDEX('Autumn term 2025'!$AB$6:$AM$55,_xlfn.XMATCH(RIGHT(MFG!$A80,4)*1,'Autumn term 2025'!$AA$6:$AA$55),_xlfn.XMATCH(MFG!G$7,'Autumn term 2025'!$AB$5:$AM$5)),0)</f>
        <v>0</v>
      </c>
      <c r="H80" s="403" cm="1">
        <f t="array" ref="H80">IFERROR(INDEX('Autumn term 2025'!$AB$6:$AM$55,_xlfn.XMATCH(RIGHT(MFG!$A80,4)*1,'Autumn term 2025'!$AA$6:$AA$55),_xlfn.XMATCH(MFG!H$7,'Autumn term 2025'!$AB$5:$AM$5)),0)</f>
        <v>0</v>
      </c>
      <c r="I80" s="403" cm="1">
        <f t="array" ref="I80">IFERROR(INDEX('Autumn term 2025'!$AB$6:$AM$55,_xlfn.XMATCH(RIGHT(MFG!$A80,4)*1,'Autumn term 2025'!$AA$6:$AA$55),_xlfn.XMATCH(MFG!I$7,'Autumn term 2025'!$AB$5:$AM$5)),0)</f>
        <v>5</v>
      </c>
      <c r="J80" s="403" cm="1">
        <f t="array" ref="J80">IFERROR(INDEX('Autumn term 2025'!$AB$6:$AM$55,_xlfn.XMATCH(RIGHT(MFG!$A80,4)*1,'Autumn term 2025'!$AA$6:$AA$55),_xlfn.XMATCH(MFG!J$7,'Autumn term 2025'!$AB$5:$AM$5)),0)</f>
        <v>0</v>
      </c>
      <c r="K80" s="403" cm="1">
        <f t="array" ref="K80">IFERROR(INDEX('Autumn term 2025'!$AB$6:$AM$55,_xlfn.XMATCH(RIGHT(MFG!$A80,4)*1,'Autumn term 2025'!$AA$6:$AA$55),_xlfn.XMATCH(MFG!K$7,'Autumn term 2025'!$AB$5:$AM$5)),0)</f>
        <v>0</v>
      </c>
      <c r="L80" s="403" cm="1">
        <f t="array" ref="L80">IFERROR(INDEX('Autumn term 2025'!$AB$6:$AM$55,_xlfn.XMATCH(RIGHT(MFG!$A80,4)*1,'Autumn term 2025'!$AA$6:$AA$55),_xlfn.XMATCH(MFG!L$7,'Autumn term 2025'!$AB$5:$AM$5)),0)</f>
        <v>0</v>
      </c>
      <c r="M80" s="403" cm="1">
        <f t="array" ref="M80">IFERROR(INDEX('Autumn term 2025'!$AB$6:$AM$55,_xlfn.XMATCH(RIGHT(MFG!$A80,4)*1,'Autumn term 2025'!$AA$6:$AA$55),_xlfn.XMATCH(MFG!M$7,'Autumn term 2025'!$AB$5:$AM$5)),0)</f>
        <v>0</v>
      </c>
      <c r="N80" s="403" cm="1">
        <f t="array" ref="N80">IFERROR(INDEX('Autumn term 2025'!$AB$6:$AM$55,_xlfn.XMATCH(RIGHT(MFG!$A80,4)*1,'Autumn term 2025'!$AA$6:$AA$55),_xlfn.XMATCH(MFG!N$7,'Autumn term 2025'!$AB$5:$AM$5)),0)</f>
        <v>10</v>
      </c>
      <c r="O80" s="403" cm="1">
        <f t="array" ref="O80">IFERROR(INDEX('Autumn term 2025'!$AB$6:$AM$55,_xlfn.XMATCH(RIGHT(MFG!$A80,4)*1,'Autumn term 2025'!$AA$6:$AA$55),_xlfn.XMATCH(MFG!O$7,'Autumn term 2025'!$AB$5:$AM$5)),0)</f>
        <v>0</v>
      </c>
      <c r="P80" s="403" cm="1">
        <f t="array" ref="P80">IFERROR(INDEX('Autumn term 2025'!$AB$6:$AM$55,_xlfn.XMATCH(RIGHT(MFG!$A80,4)*1,'Autumn term 2025'!$AA$6:$AA$55),_xlfn.XMATCH(MFG!P$7,'Autumn term 2025'!$AB$5:$AM$5)),0)</f>
        <v>0</v>
      </c>
      <c r="Q80" s="404" cm="1">
        <f t="array" ref="Q80">IFERROR(INDEX('Autumn term 2025'!$AB$6:$AM$55,_xlfn.XMATCH(RIGHT(MFG!$A80,4)*1,'Autumn term 2025'!$AA$6:$AA$55),_xlfn.XMATCH(MFG!Q$7,'Autumn term 2025'!$AB$5:$AM$5)),0)</f>
        <v>0</v>
      </c>
      <c r="R80" s="412">
        <f>IF(VLOOKUP($A80,Data!$A$4:$I$81,9,FALSE)="PRI",G80*$G$2+H80*$H$2+I80*$I$2+J80*$J$2+K80*$K$2+L80*$L$2+M80*$M$2+N80*$N$2+O80*$O$2+P80*$P$2+Q80*$Q$2,G80*$G$3+H80*$H$3+I80*$I$3+J80*$J$3+K80*$K$3+L80*$L$3+M80*$M$3+N80*$N$3+O80*$O$3+P80*$P$3+Q80*$Q$3)</f>
        <v>57135</v>
      </c>
      <c r="S80" s="145">
        <f>IF(VLOOKUP($A80,Data!$A$4:$I$81,9,FALSE)="PRI",G80*$G$4+H80*$H$4+I80*$I$4+J80*$J$4+K80*$K$4+L80*$L$4+M80*$M$4+N80*$N$4+O80*$O$4+P80*$P$4+Q80*$Q$4,G80*$G$5+H80*$H$5+I80*$I$5+J80*$J$5+K80*$K$5+L80*$L$5+M80*$M$5+N80*$N$5+O80*$O$5+P80*$P$5+Q80*$Q$5)</f>
        <v>60230</v>
      </c>
      <c r="T80" s="229">
        <f>IFERROR(VLOOKUP(RIGHT($A80,4)*1,'Autumn term 2025'!$U$6:$X$16,3,FALSE),0)</f>
        <v>0</v>
      </c>
      <c r="U80" s="230">
        <f>IFERROR(VLOOKUP(RIGHT($A80,4)*1,'Autumn term 2025'!$U$6:$X$16,2,FALSE),0)</f>
        <v>0</v>
      </c>
      <c r="V80" s="231">
        <f>IF(VLOOKUP($A80,Data!$A$3:$I$81,9,FALSE)="Pri",T80*$T$2+U80*$U$2,T80*$T$3+U80*$U$3)</f>
        <v>0</v>
      </c>
      <c r="W80" s="232">
        <f>IF(VLOOKUP($A80,Data!$A$3:$I$81,9,FALSE)="Pri",T80*$T$4+U80*$U$4,T80*$T$5+U80*$U$5)</f>
        <v>0</v>
      </c>
      <c r="X80" s="235">
        <f t="shared" si="29"/>
        <v>0</v>
      </c>
      <c r="Y80" s="399">
        <f t="shared" si="30"/>
        <v>141135</v>
      </c>
      <c r="Z80" s="234">
        <f t="shared" si="31"/>
        <v>141135</v>
      </c>
      <c r="AA80" s="46">
        <f t="shared" si="32"/>
        <v>144230</v>
      </c>
      <c r="AB80" s="400">
        <f t="shared" si="33"/>
        <v>0</v>
      </c>
      <c r="AC80" s="21">
        <f t="shared" si="34"/>
        <v>0</v>
      </c>
      <c r="AD80" s="11"/>
      <c r="AE80" s="11"/>
      <c r="AF80" s="146">
        <f>IFERROR(VLOOKUP(A80,'25-26 MFG'!A:D,3,FALSE),0)</f>
        <v>0</v>
      </c>
      <c r="AG80" s="75">
        <f>IFERROR(VLOOKUP(A80,'25-26 MFG'!A:D,4,FALSE),0)</f>
        <v>0</v>
      </c>
      <c r="AH80" s="224">
        <f t="shared" si="35"/>
        <v>0</v>
      </c>
    </row>
    <row r="81" spans="1:34">
      <c r="A81" s="8">
        <v>8505405</v>
      </c>
      <c r="B81" s="142" t="s">
        <v>45</v>
      </c>
      <c r="C81" s="16">
        <f>IFERROR(VLOOKUP(RIGHT($A81,4)*1,'Autumn term 2025'!$AA$6:$AM$57,12,FALSE),0)</f>
        <v>12</v>
      </c>
      <c r="D81" s="16">
        <f>SUMIF(APN!$A$3:$A$97,(RIGHT($A81,4)*1),APN!$K$3:$K$97)</f>
        <v>12</v>
      </c>
      <c r="E81" s="209">
        <f>D81*Values!$J$17</f>
        <v>72000</v>
      </c>
      <c r="F81" s="410">
        <f t="shared" si="28"/>
        <v>72000</v>
      </c>
      <c r="G81" s="402" cm="1">
        <f t="array" ref="G81">IFERROR(INDEX('Autumn term 2025'!$AB$6:$AM$55,_xlfn.XMATCH(RIGHT(MFG!$A81,4)*1,'Autumn term 2025'!$AA$6:$AA$55),_xlfn.XMATCH(MFG!G$7,'Autumn term 2025'!$AB$5:$AM$5)),0)</f>
        <v>12</v>
      </c>
      <c r="H81" s="403" cm="1">
        <f t="array" ref="H81">IFERROR(INDEX('Autumn term 2025'!$AB$6:$AM$55,_xlfn.XMATCH(RIGHT(MFG!$A81,4)*1,'Autumn term 2025'!$AA$6:$AA$55),_xlfn.XMATCH(MFG!H$7,'Autumn term 2025'!$AB$5:$AM$5)),0)</f>
        <v>0</v>
      </c>
      <c r="I81" s="403" cm="1">
        <f t="array" ref="I81">IFERROR(INDEX('Autumn term 2025'!$AB$6:$AM$55,_xlfn.XMATCH(RIGHT(MFG!$A81,4)*1,'Autumn term 2025'!$AA$6:$AA$55),_xlfn.XMATCH(MFG!I$7,'Autumn term 2025'!$AB$5:$AM$5)),0)</f>
        <v>0</v>
      </c>
      <c r="J81" s="403" cm="1">
        <f t="array" ref="J81">IFERROR(INDEX('Autumn term 2025'!$AB$6:$AM$55,_xlfn.XMATCH(RIGHT(MFG!$A81,4)*1,'Autumn term 2025'!$AA$6:$AA$55),_xlfn.XMATCH(MFG!J$7,'Autumn term 2025'!$AB$5:$AM$5)),0)</f>
        <v>0</v>
      </c>
      <c r="K81" s="403" cm="1">
        <f t="array" ref="K81">IFERROR(INDEX('Autumn term 2025'!$AB$6:$AM$55,_xlfn.XMATCH(RIGHT(MFG!$A81,4)*1,'Autumn term 2025'!$AA$6:$AA$55),_xlfn.XMATCH(MFG!K$7,'Autumn term 2025'!$AB$5:$AM$5)),0)</f>
        <v>0</v>
      </c>
      <c r="L81" s="403" cm="1">
        <f t="array" ref="L81">IFERROR(INDEX('Autumn term 2025'!$AB$6:$AM$55,_xlfn.XMATCH(RIGHT(MFG!$A81,4)*1,'Autumn term 2025'!$AA$6:$AA$55),_xlfn.XMATCH(MFG!L$7,'Autumn term 2025'!$AB$5:$AM$5)),0)</f>
        <v>0</v>
      </c>
      <c r="M81" s="403" cm="1">
        <f t="array" ref="M81">IFERROR(INDEX('Autumn term 2025'!$AB$6:$AM$55,_xlfn.XMATCH(RIGHT(MFG!$A81,4)*1,'Autumn term 2025'!$AA$6:$AA$55),_xlfn.XMATCH(MFG!M$7,'Autumn term 2025'!$AB$5:$AM$5)),0)</f>
        <v>0</v>
      </c>
      <c r="N81" s="403" cm="1">
        <f t="array" ref="N81">IFERROR(INDEX('Autumn term 2025'!$AB$6:$AM$55,_xlfn.XMATCH(RIGHT(MFG!$A81,4)*1,'Autumn term 2025'!$AA$6:$AA$55),_xlfn.XMATCH(MFG!N$7,'Autumn term 2025'!$AB$5:$AM$5)),0)</f>
        <v>0</v>
      </c>
      <c r="O81" s="403" cm="1">
        <f t="array" ref="O81">IFERROR(INDEX('Autumn term 2025'!$AB$6:$AM$55,_xlfn.XMATCH(RIGHT(MFG!$A81,4)*1,'Autumn term 2025'!$AA$6:$AA$55),_xlfn.XMATCH(MFG!O$7,'Autumn term 2025'!$AB$5:$AM$5)),0)</f>
        <v>0</v>
      </c>
      <c r="P81" s="403" cm="1">
        <f t="array" ref="P81">IFERROR(INDEX('Autumn term 2025'!$AB$6:$AM$55,_xlfn.XMATCH(RIGHT(MFG!$A81,4)*1,'Autumn term 2025'!$AA$6:$AA$55),_xlfn.XMATCH(MFG!P$7,'Autumn term 2025'!$AB$5:$AM$5)),0)</f>
        <v>0</v>
      </c>
      <c r="Q81" s="404" cm="1">
        <f t="array" ref="Q81">IFERROR(INDEX('Autumn term 2025'!$AB$6:$AM$55,_xlfn.XMATCH(RIGHT(MFG!$A81,4)*1,'Autumn term 2025'!$AA$6:$AA$55),_xlfn.XMATCH(MFG!Q$7,'Autumn term 2025'!$AB$5:$AM$5)),0)</f>
        <v>0</v>
      </c>
      <c r="R81" s="412">
        <f>IF(VLOOKUP($A81,Data!$A$4:$I$81,9,FALSE)="PRI",G81*$G$2+H81*$H$2+I81*$I$2+J81*$J$2+K81*$K$2+L81*$L$2+M81*$M$2+N81*$N$2+O81*$O$2+P81*$P$2+Q81*$Q$2,G81*$G$3+H81*$H$3+I81*$I$3+J81*$J$3+K81*$K$3+L81*$L$3+M81*$M$3+N81*$N$3+O81*$O$3+P81*$P$3+Q81*$Q$3)</f>
        <v>118944</v>
      </c>
      <c r="S81" s="145">
        <f>IF(VLOOKUP($A81,Data!$A$4:$I$81,9,FALSE)="PRI",G81*$G$4+H81*$H$4+I81*$I$4+J81*$J$4+K81*$K$4+L81*$L$4+M81*$M$4+N81*$N$4+O81*$O$4+P81*$P$4+Q81*$Q$4,G81*$G$5+H81*$H$5+I81*$I$5+J81*$J$5+K81*$K$5+L81*$L$5+M81*$M$5+N81*$N$5+O81*$O$5+P81*$P$5+Q81*$Q$5)</f>
        <v>122964</v>
      </c>
      <c r="T81" s="229">
        <f>IFERROR(VLOOKUP(RIGHT($A81,4)*1,'Autumn term 2025'!$U$6:$X$16,3,FALSE),0)</f>
        <v>0</v>
      </c>
      <c r="U81" s="230">
        <f>IFERROR(VLOOKUP(RIGHT($A81,4)*1,'Autumn term 2025'!$U$6:$X$16,2,FALSE),0)</f>
        <v>0</v>
      </c>
      <c r="V81" s="231">
        <f>IF(VLOOKUP($A81,Data!$A$3:$I$81,9,FALSE)="Pri",T81*$T$2+U81*$U$2,T81*$T$3+U81*$U$3)</f>
        <v>0</v>
      </c>
      <c r="W81" s="232">
        <f>IF(VLOOKUP($A81,Data!$A$3:$I$81,9,FALSE)="Pri",T81*$T$4+U81*$U$4,T81*$T$5+U81*$U$5)</f>
        <v>0</v>
      </c>
      <c r="X81" s="235">
        <f t="shared" si="29"/>
        <v>0</v>
      </c>
      <c r="Y81" s="399">
        <f t="shared" si="30"/>
        <v>190944</v>
      </c>
      <c r="Z81" s="234">
        <f t="shared" si="31"/>
        <v>190944</v>
      </c>
      <c r="AA81" s="46">
        <f t="shared" si="32"/>
        <v>194964</v>
      </c>
      <c r="AB81" s="400">
        <f t="shared" si="33"/>
        <v>0</v>
      </c>
      <c r="AC81" s="21">
        <f t="shared" si="34"/>
        <v>0</v>
      </c>
      <c r="AD81" s="11"/>
      <c r="AE81" s="11"/>
      <c r="AF81" s="146">
        <f>IFERROR(VLOOKUP(A81,'25-26 MFG'!A:D,3,FALSE),0)</f>
        <v>0</v>
      </c>
      <c r="AG81" s="75">
        <f>IFERROR(VLOOKUP(A81,'25-26 MFG'!A:D,4,FALSE),0)</f>
        <v>0</v>
      </c>
      <c r="AH81" s="224">
        <f t="shared" si="35"/>
        <v>0</v>
      </c>
    </row>
    <row r="82" spans="1:34">
      <c r="A82" s="8">
        <v>8505406</v>
      </c>
      <c r="B82" s="142" t="s">
        <v>179</v>
      </c>
      <c r="C82" s="16">
        <f>IFERROR(VLOOKUP(RIGHT($A82,4)*1,'Autumn term 2025'!$AA$6:$AM$57,12,FALSE),0)</f>
        <v>0</v>
      </c>
      <c r="D82" s="16">
        <f>SUMIF(APN!$A$3:$A$97,(RIGHT($A82,4)*1),APN!$K$3:$K$97)</f>
        <v>0</v>
      </c>
      <c r="E82" s="209">
        <f>D82*Values!$J$17</f>
        <v>0</v>
      </c>
      <c r="F82" s="410">
        <f t="shared" si="28"/>
        <v>0</v>
      </c>
      <c r="G82" s="402" cm="1">
        <f t="array" ref="G82">IFERROR(INDEX('Autumn term 2025'!$AB$6:$AM$55,_xlfn.XMATCH(RIGHT(MFG!$A82,4)*1,'Autumn term 2025'!$AA$6:$AA$55),_xlfn.XMATCH(MFG!G$7,'Autumn term 2025'!$AB$5:$AM$5)),0)</f>
        <v>0</v>
      </c>
      <c r="H82" s="403" cm="1">
        <f t="array" ref="H82">IFERROR(INDEX('Autumn term 2025'!$AB$6:$AM$55,_xlfn.XMATCH(RIGHT(MFG!$A82,4)*1,'Autumn term 2025'!$AA$6:$AA$55),_xlfn.XMATCH(MFG!H$7,'Autumn term 2025'!$AB$5:$AM$5)),0)</f>
        <v>0</v>
      </c>
      <c r="I82" s="403" cm="1">
        <f t="array" ref="I82">IFERROR(INDEX('Autumn term 2025'!$AB$6:$AM$55,_xlfn.XMATCH(RIGHT(MFG!$A82,4)*1,'Autumn term 2025'!$AA$6:$AA$55),_xlfn.XMATCH(MFG!I$7,'Autumn term 2025'!$AB$5:$AM$5)),0)</f>
        <v>0</v>
      </c>
      <c r="J82" s="403" cm="1">
        <f t="array" ref="J82">IFERROR(INDEX('Autumn term 2025'!$AB$6:$AM$55,_xlfn.XMATCH(RIGHT(MFG!$A82,4)*1,'Autumn term 2025'!$AA$6:$AA$55),_xlfn.XMATCH(MFG!J$7,'Autumn term 2025'!$AB$5:$AM$5)),0)</f>
        <v>0</v>
      </c>
      <c r="K82" s="403" cm="1">
        <f t="array" ref="K82">IFERROR(INDEX('Autumn term 2025'!$AB$6:$AM$55,_xlfn.XMATCH(RIGHT(MFG!$A82,4)*1,'Autumn term 2025'!$AA$6:$AA$55),_xlfn.XMATCH(MFG!K$7,'Autumn term 2025'!$AB$5:$AM$5)),0)</f>
        <v>0</v>
      </c>
      <c r="L82" s="403" cm="1">
        <f t="array" ref="L82">IFERROR(INDEX('Autumn term 2025'!$AB$6:$AM$55,_xlfn.XMATCH(RIGHT(MFG!$A82,4)*1,'Autumn term 2025'!$AA$6:$AA$55),_xlfn.XMATCH(MFG!L$7,'Autumn term 2025'!$AB$5:$AM$5)),0)</f>
        <v>0</v>
      </c>
      <c r="M82" s="403" cm="1">
        <f t="array" ref="M82">IFERROR(INDEX('Autumn term 2025'!$AB$6:$AM$55,_xlfn.XMATCH(RIGHT(MFG!$A82,4)*1,'Autumn term 2025'!$AA$6:$AA$55),_xlfn.XMATCH(MFG!M$7,'Autumn term 2025'!$AB$5:$AM$5)),0)</f>
        <v>0</v>
      </c>
      <c r="N82" s="403" cm="1">
        <f t="array" ref="N82">IFERROR(INDEX('Autumn term 2025'!$AB$6:$AM$55,_xlfn.XMATCH(RIGHT(MFG!$A82,4)*1,'Autumn term 2025'!$AA$6:$AA$55),_xlfn.XMATCH(MFG!N$7,'Autumn term 2025'!$AB$5:$AM$5)),0)</f>
        <v>0</v>
      </c>
      <c r="O82" s="403" cm="1">
        <f t="array" ref="O82">IFERROR(INDEX('Autumn term 2025'!$AB$6:$AM$55,_xlfn.XMATCH(RIGHT(MFG!$A82,4)*1,'Autumn term 2025'!$AA$6:$AA$55),_xlfn.XMATCH(MFG!O$7,'Autumn term 2025'!$AB$5:$AM$5)),0)</f>
        <v>0</v>
      </c>
      <c r="P82" s="403" cm="1">
        <f t="array" ref="P82">IFERROR(INDEX('Autumn term 2025'!$AB$6:$AM$55,_xlfn.XMATCH(RIGHT(MFG!$A82,4)*1,'Autumn term 2025'!$AA$6:$AA$55),_xlfn.XMATCH(MFG!P$7,'Autumn term 2025'!$AB$5:$AM$5)),0)</f>
        <v>0</v>
      </c>
      <c r="Q82" s="404" cm="1">
        <f t="array" ref="Q82">IFERROR(INDEX('Autumn term 2025'!$AB$6:$AM$55,_xlfn.XMATCH(RIGHT(MFG!$A82,4)*1,'Autumn term 2025'!$AA$6:$AA$55),_xlfn.XMATCH(MFG!Q$7,'Autumn term 2025'!$AB$5:$AM$5)),0)</f>
        <v>0</v>
      </c>
      <c r="R82" s="412">
        <f>IF(VLOOKUP($A82,Data!$A$4:$I$81,9,FALSE)="PRI",G82*$G$2+H82*$H$2+I82*$I$2+J82*$J$2+K82*$K$2+L82*$L$2+M82*$M$2+N82*$N$2+O82*$O$2+P82*$P$2+Q82*$Q$2,G82*$G$3+H82*$H$3+I82*$I$3+J82*$J$3+K82*$K$3+L82*$L$3+M82*$M$3+N82*$N$3+O82*$O$3+P82*$P$3+Q82*$Q$3)</f>
        <v>0</v>
      </c>
      <c r="S82" s="145">
        <f>IF(VLOOKUP($A82,Data!$A$4:$I$81,9,FALSE)="PRI",G82*$G$4+H82*$H$4+I82*$I$4+J82*$J$4+K82*$K$4+L82*$L$4+M82*$M$4+N82*$N$4+O82*$O$4+P82*$P$4+Q82*$Q$4,G82*$G$5+H82*$H$5+I82*$I$5+J82*$J$5+K82*$K$5+L82*$L$5+M82*$M$5+N82*$N$5+O82*$O$5+P82*$P$5+Q82*$Q$5)</f>
        <v>0</v>
      </c>
      <c r="T82" s="229">
        <f>IFERROR(VLOOKUP(RIGHT($A82,4)*1,'Autumn term 2025'!$U$6:$X$16,3,FALSE),0)</f>
        <v>0</v>
      </c>
      <c r="U82" s="230">
        <f>IFERROR(VLOOKUP(RIGHT($A82,4)*1,'Autumn term 2025'!$U$6:$X$16,2,FALSE),0)</f>
        <v>0</v>
      </c>
      <c r="V82" s="231">
        <f>IF(VLOOKUP($A82,Data!$A$3:$I$81,9,FALSE)="Pri",T82*$T$2+U82*$U$2,T82*$T$3+U82*$U$3)</f>
        <v>0</v>
      </c>
      <c r="W82" s="232">
        <f>IF(VLOOKUP($A82,Data!$A$3:$I$81,9,FALSE)="Pri",T82*$T$4+U82*$U$4,T82*$T$5+U82*$U$5)</f>
        <v>0</v>
      </c>
      <c r="X82" s="235">
        <f t="shared" si="29"/>
        <v>0</v>
      </c>
      <c r="Y82" s="399">
        <f t="shared" si="30"/>
        <v>0</v>
      </c>
      <c r="Z82" s="234">
        <f t="shared" si="31"/>
        <v>0</v>
      </c>
      <c r="AA82" s="46">
        <f t="shared" si="32"/>
        <v>0</v>
      </c>
      <c r="AB82" s="400">
        <f t="shared" si="33"/>
        <v>0</v>
      </c>
      <c r="AC82" s="21">
        <f t="shared" si="34"/>
        <v>0</v>
      </c>
      <c r="AD82" s="11"/>
      <c r="AE82" s="11"/>
      <c r="AF82" s="146">
        <f>IFERROR(VLOOKUP(A82,'25-26 MFG'!A:D,3,FALSE),0)</f>
        <v>0</v>
      </c>
      <c r="AG82" s="75">
        <f>IFERROR(VLOOKUP(A82,'25-26 MFG'!A:D,4,FALSE),0)</f>
        <v>0</v>
      </c>
      <c r="AH82" s="224">
        <f t="shared" si="35"/>
        <v>0</v>
      </c>
    </row>
    <row r="83" spans="1:34">
      <c r="A83" s="8">
        <v>8505408</v>
      </c>
      <c r="B83" s="142" t="s">
        <v>180</v>
      </c>
      <c r="C83" s="16">
        <f>IFERROR(VLOOKUP(RIGHT($A83,4)*1,'Autumn term 2025'!$AA$6:$AM$57,12,FALSE),0)</f>
        <v>0</v>
      </c>
      <c r="D83" s="16">
        <f>SUMIF(APN!$A$3:$A$97,(RIGHT($A83,4)*1),APN!$K$3:$K$97)</f>
        <v>0</v>
      </c>
      <c r="E83" s="209">
        <f>D83*Values!$J$17</f>
        <v>0</v>
      </c>
      <c r="F83" s="410">
        <f t="shared" si="28"/>
        <v>0</v>
      </c>
      <c r="G83" s="402" cm="1">
        <f t="array" ref="G83">IFERROR(INDEX('Autumn term 2025'!$AB$6:$AM$55,_xlfn.XMATCH(RIGHT(MFG!$A83,4)*1,'Autumn term 2025'!$AA$6:$AA$55),_xlfn.XMATCH(MFG!G$7,'Autumn term 2025'!$AB$5:$AM$5)),0)</f>
        <v>0</v>
      </c>
      <c r="H83" s="403" cm="1">
        <f t="array" ref="H83">IFERROR(INDEX('Autumn term 2025'!$AB$6:$AM$55,_xlfn.XMATCH(RIGHT(MFG!$A83,4)*1,'Autumn term 2025'!$AA$6:$AA$55),_xlfn.XMATCH(MFG!H$7,'Autumn term 2025'!$AB$5:$AM$5)),0)</f>
        <v>0</v>
      </c>
      <c r="I83" s="403" cm="1">
        <f t="array" ref="I83">IFERROR(INDEX('Autumn term 2025'!$AB$6:$AM$55,_xlfn.XMATCH(RIGHT(MFG!$A83,4)*1,'Autumn term 2025'!$AA$6:$AA$55),_xlfn.XMATCH(MFG!I$7,'Autumn term 2025'!$AB$5:$AM$5)),0)</f>
        <v>0</v>
      </c>
      <c r="J83" s="403" cm="1">
        <f t="array" ref="J83">IFERROR(INDEX('Autumn term 2025'!$AB$6:$AM$55,_xlfn.XMATCH(RIGHT(MFG!$A83,4)*1,'Autumn term 2025'!$AA$6:$AA$55),_xlfn.XMATCH(MFG!J$7,'Autumn term 2025'!$AB$5:$AM$5)),0)</f>
        <v>0</v>
      </c>
      <c r="K83" s="403" cm="1">
        <f t="array" ref="K83">IFERROR(INDEX('Autumn term 2025'!$AB$6:$AM$55,_xlfn.XMATCH(RIGHT(MFG!$A83,4)*1,'Autumn term 2025'!$AA$6:$AA$55),_xlfn.XMATCH(MFG!K$7,'Autumn term 2025'!$AB$5:$AM$5)),0)</f>
        <v>0</v>
      </c>
      <c r="L83" s="403" cm="1">
        <f t="array" ref="L83">IFERROR(INDEX('Autumn term 2025'!$AB$6:$AM$55,_xlfn.XMATCH(RIGHT(MFG!$A83,4)*1,'Autumn term 2025'!$AA$6:$AA$55),_xlfn.XMATCH(MFG!L$7,'Autumn term 2025'!$AB$5:$AM$5)),0)</f>
        <v>0</v>
      </c>
      <c r="M83" s="403" cm="1">
        <f t="array" ref="M83">IFERROR(INDEX('Autumn term 2025'!$AB$6:$AM$55,_xlfn.XMATCH(RIGHT(MFG!$A83,4)*1,'Autumn term 2025'!$AA$6:$AA$55),_xlfn.XMATCH(MFG!M$7,'Autumn term 2025'!$AB$5:$AM$5)),0)</f>
        <v>0</v>
      </c>
      <c r="N83" s="403" cm="1">
        <f t="array" ref="N83">IFERROR(INDEX('Autumn term 2025'!$AB$6:$AM$55,_xlfn.XMATCH(RIGHT(MFG!$A83,4)*1,'Autumn term 2025'!$AA$6:$AA$55),_xlfn.XMATCH(MFG!N$7,'Autumn term 2025'!$AB$5:$AM$5)),0)</f>
        <v>0</v>
      </c>
      <c r="O83" s="403" cm="1">
        <f t="array" ref="O83">IFERROR(INDEX('Autumn term 2025'!$AB$6:$AM$55,_xlfn.XMATCH(RIGHT(MFG!$A83,4)*1,'Autumn term 2025'!$AA$6:$AA$55),_xlfn.XMATCH(MFG!O$7,'Autumn term 2025'!$AB$5:$AM$5)),0)</f>
        <v>0</v>
      </c>
      <c r="P83" s="403" cm="1">
        <f t="array" ref="P83">IFERROR(INDEX('Autumn term 2025'!$AB$6:$AM$55,_xlfn.XMATCH(RIGHT(MFG!$A83,4)*1,'Autumn term 2025'!$AA$6:$AA$55),_xlfn.XMATCH(MFG!P$7,'Autumn term 2025'!$AB$5:$AM$5)),0)</f>
        <v>0</v>
      </c>
      <c r="Q83" s="404" cm="1">
        <f t="array" ref="Q83">IFERROR(INDEX('Autumn term 2025'!$AB$6:$AM$55,_xlfn.XMATCH(RIGHT(MFG!$A83,4)*1,'Autumn term 2025'!$AA$6:$AA$55),_xlfn.XMATCH(MFG!Q$7,'Autumn term 2025'!$AB$5:$AM$5)),0)</f>
        <v>0</v>
      </c>
      <c r="R83" s="412">
        <f>IF(VLOOKUP($A83,Data!$A$4:$I$81,9,FALSE)="PRI",G83*$G$2+H83*$H$2+I83*$I$2+J83*$J$2+K83*$K$2+L83*$L$2+M83*$M$2+N83*$N$2+O83*$O$2+P83*$P$2+Q83*$Q$2,G83*$G$3+H83*$H$3+I83*$I$3+J83*$J$3+K83*$K$3+L83*$L$3+M83*$M$3+N83*$N$3+O83*$O$3+P83*$P$3+Q83*$Q$3)</f>
        <v>0</v>
      </c>
      <c r="S83" s="145">
        <f>IF(VLOOKUP($A83,Data!$A$4:$I$81,9,FALSE)="PRI",G83*$G$4+H83*$H$4+I83*$I$4+J83*$J$4+K83*$K$4+L83*$L$4+M83*$M$4+N83*$N$4+O83*$O$4+P83*$P$4+Q83*$Q$4,G83*$G$5+H83*$H$5+I83*$I$5+J83*$J$5+K83*$K$5+L83*$L$5+M83*$M$5+N83*$N$5+O83*$O$5+P83*$P$5+Q83*$Q$5)</f>
        <v>0</v>
      </c>
      <c r="T83" s="229">
        <f>IFERROR(VLOOKUP(RIGHT($A83,4)*1,'Autumn term 2025'!$U$6:$X$16,3,FALSE),0)</f>
        <v>0</v>
      </c>
      <c r="U83" s="230">
        <f>IFERROR(VLOOKUP(RIGHT($A83,4)*1,'Autumn term 2025'!$U$6:$X$16,2,FALSE),0)</f>
        <v>0</v>
      </c>
      <c r="V83" s="231">
        <f>IF(VLOOKUP($A83,Data!$A$3:$I$81,9,FALSE)="Pri",T83*$T$2+U83*$U$2,T83*$T$3+U83*$U$3)</f>
        <v>0</v>
      </c>
      <c r="W83" s="232">
        <f>IF(VLOOKUP($A83,Data!$A$3:$I$81,9,FALSE)="Pri",T83*$T$4+U83*$U$4,T83*$T$5+U83*$U$5)</f>
        <v>0</v>
      </c>
      <c r="X83" s="235">
        <f t="shared" si="29"/>
        <v>0</v>
      </c>
      <c r="Y83" s="399">
        <f t="shared" si="30"/>
        <v>0</v>
      </c>
      <c r="Z83" s="234">
        <f t="shared" si="31"/>
        <v>0</v>
      </c>
      <c r="AA83" s="46">
        <f t="shared" si="32"/>
        <v>0</v>
      </c>
      <c r="AB83" s="400">
        <f t="shared" si="33"/>
        <v>0</v>
      </c>
      <c r="AC83" s="21">
        <f t="shared" si="34"/>
        <v>0</v>
      </c>
      <c r="AD83" s="11"/>
      <c r="AE83" s="11"/>
      <c r="AF83" s="146">
        <f>IFERROR(VLOOKUP(A83,'25-26 MFG'!A:D,3,FALSE),0)</f>
        <v>0</v>
      </c>
      <c r="AG83" s="75">
        <f>IFERROR(VLOOKUP(A83,'25-26 MFG'!A:D,4,FALSE),0)</f>
        <v>0</v>
      </c>
      <c r="AH83" s="224">
        <f t="shared" si="35"/>
        <v>0</v>
      </c>
    </row>
    <row r="84" spans="1:34">
      <c r="A84" s="8">
        <v>8505412</v>
      </c>
      <c r="B84" s="142" t="s">
        <v>46</v>
      </c>
      <c r="C84" s="16">
        <f>IFERROR(VLOOKUP(RIGHT($A84,4)*1,'Autumn term 2025'!$AA$6:$AM$57,12,FALSE),0)</f>
        <v>12</v>
      </c>
      <c r="D84" s="16">
        <f>SUMIF(APN!$A$3:$A$97,(RIGHT($A84,4)*1),APN!$K$3:$K$97)</f>
        <v>18.25</v>
      </c>
      <c r="E84" s="209">
        <f>D84*Values!$J$17</f>
        <v>109500</v>
      </c>
      <c r="F84" s="410">
        <f t="shared" si="28"/>
        <v>109500</v>
      </c>
      <c r="G84" s="402" cm="1">
        <f t="array" ref="G84">IFERROR(INDEX('Autumn term 2025'!$AB$6:$AM$55,_xlfn.XMATCH(RIGHT(MFG!$A84,4)*1,'Autumn term 2025'!$AA$6:$AA$55),_xlfn.XMATCH(MFG!G$7,'Autumn term 2025'!$AB$5:$AM$5)),0)</f>
        <v>3</v>
      </c>
      <c r="H84" s="403" cm="1">
        <f t="array" ref="H84">IFERROR(INDEX('Autumn term 2025'!$AB$6:$AM$55,_xlfn.XMATCH(RIGHT(MFG!$A84,4)*1,'Autumn term 2025'!$AA$6:$AA$55),_xlfn.XMATCH(MFG!H$7,'Autumn term 2025'!$AB$5:$AM$5)),0)</f>
        <v>0</v>
      </c>
      <c r="I84" s="403" cm="1">
        <f t="array" ref="I84">IFERROR(INDEX('Autumn term 2025'!$AB$6:$AM$55,_xlfn.XMATCH(RIGHT(MFG!$A84,4)*1,'Autumn term 2025'!$AA$6:$AA$55),_xlfn.XMATCH(MFG!I$7,'Autumn term 2025'!$AB$5:$AM$5)),0)</f>
        <v>0</v>
      </c>
      <c r="J84" s="403" cm="1">
        <f t="array" ref="J84">IFERROR(INDEX('Autumn term 2025'!$AB$6:$AM$55,_xlfn.XMATCH(RIGHT(MFG!$A84,4)*1,'Autumn term 2025'!$AA$6:$AA$55),_xlfn.XMATCH(MFG!J$7,'Autumn term 2025'!$AB$5:$AM$5)),0)</f>
        <v>0</v>
      </c>
      <c r="K84" s="403" cm="1">
        <f t="array" ref="K84">IFERROR(INDEX('Autumn term 2025'!$AB$6:$AM$55,_xlfn.XMATCH(RIGHT(MFG!$A84,4)*1,'Autumn term 2025'!$AA$6:$AA$55),_xlfn.XMATCH(MFG!K$7,'Autumn term 2025'!$AB$5:$AM$5)),0)</f>
        <v>0</v>
      </c>
      <c r="L84" s="403" cm="1">
        <f t="array" ref="L84">IFERROR(INDEX('Autumn term 2025'!$AB$6:$AM$55,_xlfn.XMATCH(RIGHT(MFG!$A84,4)*1,'Autumn term 2025'!$AA$6:$AA$55),_xlfn.XMATCH(MFG!L$7,'Autumn term 2025'!$AB$5:$AM$5)),0)</f>
        <v>0</v>
      </c>
      <c r="M84" s="403" cm="1">
        <f t="array" ref="M84">IFERROR(INDEX('Autumn term 2025'!$AB$6:$AM$55,_xlfn.XMATCH(RIGHT(MFG!$A84,4)*1,'Autumn term 2025'!$AA$6:$AA$55),_xlfn.XMATCH(MFG!M$7,'Autumn term 2025'!$AB$5:$AM$5)),0)</f>
        <v>0</v>
      </c>
      <c r="N84" s="403" cm="1">
        <f t="array" ref="N84">IFERROR(INDEX('Autumn term 2025'!$AB$6:$AM$55,_xlfn.XMATCH(RIGHT(MFG!$A84,4)*1,'Autumn term 2025'!$AA$6:$AA$55),_xlfn.XMATCH(MFG!N$7,'Autumn term 2025'!$AB$5:$AM$5)),0)</f>
        <v>0</v>
      </c>
      <c r="O84" s="403" cm="1">
        <f t="array" ref="O84">IFERROR(INDEX('Autumn term 2025'!$AB$6:$AM$55,_xlfn.XMATCH(RIGHT(MFG!$A84,4)*1,'Autumn term 2025'!$AA$6:$AA$55),_xlfn.XMATCH(MFG!O$7,'Autumn term 2025'!$AB$5:$AM$5)),0)</f>
        <v>0</v>
      </c>
      <c r="P84" s="403" cm="1">
        <f t="array" ref="P84">IFERROR(INDEX('Autumn term 2025'!$AB$6:$AM$55,_xlfn.XMATCH(RIGHT(MFG!$A84,4)*1,'Autumn term 2025'!$AA$6:$AA$55),_xlfn.XMATCH(MFG!P$7,'Autumn term 2025'!$AB$5:$AM$5)),0)</f>
        <v>9</v>
      </c>
      <c r="Q84" s="404" cm="1">
        <f t="array" ref="Q84">IFERROR(INDEX('Autumn term 2025'!$AB$6:$AM$55,_xlfn.XMATCH(RIGHT(MFG!$A84,4)*1,'Autumn term 2025'!$AA$6:$AA$55),_xlfn.XMATCH(MFG!Q$7,'Autumn term 2025'!$AB$5:$AM$5)),0)</f>
        <v>0</v>
      </c>
      <c r="R84" s="412">
        <f>IF(VLOOKUP($A84,Data!$A$4:$I$81,9,FALSE)="PRI",G84*$G$2+H84*$H$2+I84*$I$2+J84*$J$2+K84*$K$2+L84*$L$2+M84*$M$2+N84*$N$2+O84*$O$2+P84*$P$2+Q84*$Q$2,G84*$G$3+H84*$H$3+I84*$I$3+J84*$J$3+K84*$K$3+L84*$L$3+M84*$M$3+N84*$N$3+O84*$O$3+P84*$P$3+Q84*$Q$3)</f>
        <v>40176</v>
      </c>
      <c r="S84" s="145">
        <f>IF(VLOOKUP($A84,Data!$A$4:$I$81,9,FALSE)="PRI",G84*$G$4+H84*$H$4+I84*$I$4+J84*$J$4+K84*$K$4+L84*$L$4+M84*$M$4+N84*$N$4+O84*$O$4+P84*$P$4+Q84*$Q$4,G84*$G$5+H84*$H$5+I84*$I$5+J84*$J$5+K84*$K$5+L84*$L$5+M84*$M$5+N84*$N$5+O84*$O$5+P84*$P$5+Q84*$Q$5)</f>
        <v>42540</v>
      </c>
      <c r="T84" s="229">
        <f>IFERROR(VLOOKUP(RIGHT($A84,4)*1,'Autumn term 2025'!$U$6:$X$16,3,FALSE),0)</f>
        <v>0</v>
      </c>
      <c r="U84" s="230">
        <f>IFERROR(VLOOKUP(RIGHT($A84,4)*1,'Autumn term 2025'!$U$6:$X$16,2,FALSE),0)</f>
        <v>0</v>
      </c>
      <c r="V84" s="231">
        <f>IF(VLOOKUP($A84,Data!$A$3:$I$81,9,FALSE)="Pri",T84*$T$2+U84*$U$2,T84*$T$3+U84*$U$3)</f>
        <v>0</v>
      </c>
      <c r="W84" s="232">
        <f>IF(VLOOKUP($A84,Data!$A$3:$I$81,9,FALSE)="Pri",T84*$T$4+U84*$U$4,T84*$T$5+U84*$U$5)</f>
        <v>0</v>
      </c>
      <c r="X84" s="235">
        <f t="shared" si="29"/>
        <v>0</v>
      </c>
      <c r="Y84" s="399">
        <f t="shared" si="30"/>
        <v>149676</v>
      </c>
      <c r="Z84" s="234">
        <f t="shared" si="31"/>
        <v>149676</v>
      </c>
      <c r="AA84" s="46">
        <f t="shared" si="32"/>
        <v>152040</v>
      </c>
      <c r="AB84" s="400">
        <f t="shared" si="33"/>
        <v>0</v>
      </c>
      <c r="AC84" s="21">
        <f t="shared" si="34"/>
        <v>0</v>
      </c>
      <c r="AD84" s="11"/>
      <c r="AE84" s="11"/>
      <c r="AF84" s="146">
        <f>IFERROR(VLOOKUP(A84,'25-26 MFG'!A:D,3,FALSE),0)</f>
        <v>0</v>
      </c>
      <c r="AG84" s="75">
        <f>IFERROR(VLOOKUP(A84,'25-26 MFG'!A:D,4,FALSE),0)</f>
        <v>0</v>
      </c>
      <c r="AH84" s="224">
        <f t="shared" si="35"/>
        <v>0</v>
      </c>
    </row>
    <row r="85" spans="1:34" ht="15.75" thickBot="1">
      <c r="A85" s="8">
        <v>8505416</v>
      </c>
      <c r="B85" s="142" t="s">
        <v>181</v>
      </c>
      <c r="C85" s="16">
        <f>IFERROR(VLOOKUP(RIGHT($A85,4)*1,'Autumn term 2025'!$AA$6:$AM$57,12,FALSE),0)</f>
        <v>5</v>
      </c>
      <c r="D85" s="16">
        <f>SUMIF(APN!$A$3:$A$97,(RIGHT($A85,4)*1),APN!$K$3:$K$97)</f>
        <v>7</v>
      </c>
      <c r="E85" s="209">
        <f>D85*Values!$J$17</f>
        <v>42000</v>
      </c>
      <c r="F85" s="410">
        <f t="shared" si="28"/>
        <v>42000</v>
      </c>
      <c r="G85" s="402" cm="1">
        <f t="array" ref="G85">IFERROR(INDEX('Autumn term 2025'!$AB$6:$AM$55,_xlfn.XMATCH(RIGHT(MFG!$A85,4)*1,'Autumn term 2025'!$AA$6:$AA$55),_xlfn.XMATCH(MFG!G$7,'Autumn term 2025'!$AB$5:$AM$5)),0)</f>
        <v>0</v>
      </c>
      <c r="H85" s="403" cm="1">
        <f t="array" ref="H85">IFERROR(INDEX('Autumn term 2025'!$AB$6:$AM$55,_xlfn.XMATCH(RIGHT(MFG!$A85,4)*1,'Autumn term 2025'!$AA$6:$AA$55),_xlfn.XMATCH(MFG!H$7,'Autumn term 2025'!$AB$5:$AM$5)),0)</f>
        <v>0</v>
      </c>
      <c r="I85" s="403" cm="1">
        <f t="array" ref="I85">IFERROR(INDEX('Autumn term 2025'!$AB$6:$AM$55,_xlfn.XMATCH(RIGHT(MFG!$A85,4)*1,'Autumn term 2025'!$AA$6:$AA$55),_xlfn.XMATCH(MFG!I$7,'Autumn term 2025'!$AB$5:$AM$5)),0)</f>
        <v>0</v>
      </c>
      <c r="J85" s="403" cm="1">
        <f t="array" ref="J85">IFERROR(INDEX('Autumn term 2025'!$AB$6:$AM$55,_xlfn.XMATCH(RIGHT(MFG!$A85,4)*1,'Autumn term 2025'!$AA$6:$AA$55),_xlfn.XMATCH(MFG!J$7,'Autumn term 2025'!$AB$5:$AM$5)),0)</f>
        <v>0</v>
      </c>
      <c r="K85" s="403" cm="1">
        <f t="array" ref="K85">IFERROR(INDEX('Autumn term 2025'!$AB$6:$AM$55,_xlfn.XMATCH(RIGHT(MFG!$A85,4)*1,'Autumn term 2025'!$AA$6:$AA$55),_xlfn.XMATCH(MFG!K$7,'Autumn term 2025'!$AB$5:$AM$5)),0)</f>
        <v>0</v>
      </c>
      <c r="L85" s="403" cm="1">
        <f t="array" ref="L85">IFERROR(INDEX('Autumn term 2025'!$AB$6:$AM$55,_xlfn.XMATCH(RIGHT(MFG!$A85,4)*1,'Autumn term 2025'!$AA$6:$AA$55),_xlfn.XMATCH(MFG!L$7,'Autumn term 2025'!$AB$5:$AM$5)),0)</f>
        <v>0</v>
      </c>
      <c r="M85" s="403" cm="1">
        <f t="array" ref="M85">IFERROR(INDEX('Autumn term 2025'!$AB$6:$AM$55,_xlfn.XMATCH(RIGHT(MFG!$A85,4)*1,'Autumn term 2025'!$AA$6:$AA$55),_xlfn.XMATCH(MFG!M$7,'Autumn term 2025'!$AB$5:$AM$5)),0)</f>
        <v>5</v>
      </c>
      <c r="N85" s="403" cm="1">
        <f t="array" ref="N85">IFERROR(INDEX('Autumn term 2025'!$AB$6:$AM$55,_xlfn.XMATCH(RIGHT(MFG!$A85,4)*1,'Autumn term 2025'!$AA$6:$AA$55),_xlfn.XMATCH(MFG!N$7,'Autumn term 2025'!$AB$5:$AM$5)),0)</f>
        <v>0</v>
      </c>
      <c r="O85" s="403" cm="1">
        <f t="array" ref="O85">IFERROR(INDEX('Autumn term 2025'!$AB$6:$AM$55,_xlfn.XMATCH(RIGHT(MFG!$A85,4)*1,'Autumn term 2025'!$AA$6:$AA$55),_xlfn.XMATCH(MFG!O$7,'Autumn term 2025'!$AB$5:$AM$5)),0)</f>
        <v>0</v>
      </c>
      <c r="P85" s="403" cm="1">
        <f t="array" ref="P85">IFERROR(INDEX('Autumn term 2025'!$AB$6:$AM$55,_xlfn.XMATCH(RIGHT(MFG!$A85,4)*1,'Autumn term 2025'!$AA$6:$AA$55),_xlfn.XMATCH(MFG!P$7,'Autumn term 2025'!$AB$5:$AM$5)),0)</f>
        <v>0</v>
      </c>
      <c r="Q85" s="404" cm="1">
        <f t="array" ref="Q85">IFERROR(INDEX('Autumn term 2025'!$AB$6:$AM$55,_xlfn.XMATCH(RIGHT(MFG!$A85,4)*1,'Autumn term 2025'!$AA$6:$AA$55),_xlfn.XMATCH(MFG!Q$7,'Autumn term 2025'!$AB$5:$AM$5)),0)</f>
        <v>0</v>
      </c>
      <c r="R85" s="412">
        <f>IF(VLOOKUP($A85,Data!$A$4:$I$81,9,FALSE)="PRI",G85*$G$2+H85*$H$2+I85*$I$2+J85*$J$2+K85*$K$2+L85*$L$2+M85*$M$2+N85*$N$2+O85*$O$2+P85*$P$2+Q85*$Q$2,G85*$G$3+H85*$H$3+I85*$I$3+J85*$J$3+K85*$K$3+L85*$L$3+M85*$M$3+N85*$N$3+O85*$O$3+P85*$P$3+Q85*$Q$3)</f>
        <v>56100</v>
      </c>
      <c r="S85" s="145">
        <f>IF(VLOOKUP($A85,Data!$A$4:$I$81,9,FALSE)="PRI",G85*$G$4+H85*$H$4+I85*$I$4+J85*$J$4+K85*$K$4+L85*$L$4+M85*$M$4+N85*$N$4+O85*$O$4+P85*$P$4+Q85*$Q$4,G85*$G$5+H85*$H$5+I85*$I$5+J85*$J$5+K85*$K$5+L85*$L$5+M85*$M$5+N85*$N$5+O85*$O$5+P85*$P$5+Q85*$Q$5)</f>
        <v>57910</v>
      </c>
      <c r="T85" s="229">
        <f>IFERROR(VLOOKUP(RIGHT($A85,4)*1,'Autumn term 2025'!$U$6:$X$16,3,FALSE),0)</f>
        <v>0</v>
      </c>
      <c r="U85" s="230">
        <f>IFERROR(VLOOKUP(RIGHT($A85,4)*1,'Autumn term 2025'!$U$6:$X$16,2,FALSE),0)</f>
        <v>0</v>
      </c>
      <c r="V85" s="231">
        <f>IF(VLOOKUP($A85,Data!$A$3:$I$81,9,FALSE)="Pri",T85*$T$2+U85*$U$2,T85*$T$3+U85*$U$3)</f>
        <v>0</v>
      </c>
      <c r="W85" s="232">
        <f>IF(VLOOKUP($A85,Data!$A$3:$I$81,9,FALSE)="Pri",T85*$T$4+U85*$U$4,T85*$T$5+U85*$U$5)</f>
        <v>0</v>
      </c>
      <c r="X85" s="235">
        <f t="shared" si="29"/>
        <v>0</v>
      </c>
      <c r="Y85" s="399">
        <f t="shared" si="30"/>
        <v>98100</v>
      </c>
      <c r="Z85" s="234">
        <f t="shared" si="31"/>
        <v>98100</v>
      </c>
      <c r="AA85" s="46">
        <f t="shared" si="32"/>
        <v>99910</v>
      </c>
      <c r="AB85" s="400">
        <f t="shared" si="33"/>
        <v>0</v>
      </c>
      <c r="AC85" s="21">
        <f t="shared" si="34"/>
        <v>0</v>
      </c>
      <c r="AD85" s="11"/>
      <c r="AE85" s="11"/>
      <c r="AF85" s="146">
        <f>IFERROR(VLOOKUP(A85,'25-26 MFG'!A:D,3,FALSE),0)</f>
        <v>0</v>
      </c>
      <c r="AG85" s="75">
        <f>IFERROR(VLOOKUP(A85,'25-26 MFG'!A:D,4,FALSE),0)</f>
        <v>0</v>
      </c>
      <c r="AH85" s="224">
        <f t="shared" si="35"/>
        <v>0</v>
      </c>
    </row>
    <row r="86" spans="1:34" ht="15.75" thickBot="1">
      <c r="A86" s="8"/>
      <c r="B86" s="6"/>
      <c r="C86" s="16">
        <f>SUM(C8:C85)</f>
        <v>595.33999999999992</v>
      </c>
      <c r="D86" s="16">
        <f>SUM(D8:D85)</f>
        <v>703.91666666666652</v>
      </c>
      <c r="Q86" s="10">
        <f>SUM(G8:Q85)</f>
        <v>586.33999999999992</v>
      </c>
      <c r="AA86" s="11"/>
      <c r="AB86" s="11"/>
      <c r="AC86" s="11"/>
      <c r="AF86" s="228">
        <f>SUM(AF8:AF85)</f>
        <v>16195.5</v>
      </c>
      <c r="AG86" s="227">
        <f>SUM(AG8:AG85)</f>
        <v>3386</v>
      </c>
      <c r="AH86" s="225">
        <f>SUM(AH8:AH85)</f>
        <v>-484</v>
      </c>
    </row>
  </sheetData>
  <autoFilter ref="A8:AC86" xr:uid="{00000000-0001-0000-0700-000000000000}"/>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10629-21D0-47D5-A971-EE30FFFEA94D}">
  <sheetPr codeName="Sheet14">
    <tabColor theme="6" tint="0.59999389629810485"/>
  </sheetPr>
  <dimension ref="A1:D58"/>
  <sheetViews>
    <sheetView workbookViewId="0">
      <selection activeCell="T87" sqref="T87"/>
    </sheetView>
  </sheetViews>
  <sheetFormatPr defaultRowHeight="15"/>
  <cols>
    <col min="2" max="2" width="33.85546875" bestFit="1" customWidth="1"/>
    <col min="3" max="3" width="17.5703125" customWidth="1"/>
    <col min="4" max="4" width="15" customWidth="1"/>
  </cols>
  <sheetData>
    <row r="1" spans="1:4" ht="57" thickBot="1">
      <c r="A1" s="2"/>
      <c r="B1" s="2"/>
      <c r="C1" s="111" t="s">
        <v>567</v>
      </c>
      <c r="D1" s="188" t="s">
        <v>561</v>
      </c>
    </row>
    <row r="2" spans="1:4">
      <c r="A2" s="8">
        <v>8502005</v>
      </c>
      <c r="B2" t="s">
        <v>0</v>
      </c>
      <c r="C2" s="400">
        <v>0</v>
      </c>
      <c r="D2" s="21">
        <v>0</v>
      </c>
    </row>
    <row r="3" spans="1:4">
      <c r="A3" s="7">
        <v>8502011</v>
      </c>
      <c r="B3" t="s">
        <v>1</v>
      </c>
      <c r="C3" s="400">
        <v>0</v>
      </c>
      <c r="D3" s="21">
        <v>0</v>
      </c>
    </row>
    <row r="4" spans="1:4">
      <c r="A4" s="7">
        <v>8502013</v>
      </c>
      <c r="B4" s="142" t="s">
        <v>2</v>
      </c>
      <c r="C4" s="400">
        <v>0</v>
      </c>
      <c r="D4" s="21">
        <v>0</v>
      </c>
    </row>
    <row r="5" spans="1:4">
      <c r="A5" s="7">
        <v>8502018</v>
      </c>
      <c r="B5" s="142" t="s">
        <v>3</v>
      </c>
      <c r="C5" s="400">
        <v>0</v>
      </c>
      <c r="D5" s="21">
        <v>0</v>
      </c>
    </row>
    <row r="6" spans="1:4">
      <c r="A6" s="7">
        <v>8502024</v>
      </c>
      <c r="B6" s="142" t="s">
        <v>4</v>
      </c>
      <c r="C6" s="400">
        <v>0</v>
      </c>
      <c r="D6" s="21">
        <v>0</v>
      </c>
    </row>
    <row r="7" spans="1:4">
      <c r="A7" s="7">
        <v>8502045</v>
      </c>
      <c r="B7" s="142" t="s">
        <v>144</v>
      </c>
      <c r="C7" s="400">
        <v>0</v>
      </c>
      <c r="D7" s="21">
        <v>0</v>
      </c>
    </row>
    <row r="8" spans="1:4">
      <c r="A8" s="7">
        <v>8502057</v>
      </c>
      <c r="B8" s="142" t="s">
        <v>5</v>
      </c>
      <c r="C8" s="400">
        <v>0</v>
      </c>
      <c r="D8" s="21">
        <v>0</v>
      </c>
    </row>
    <row r="9" spans="1:4">
      <c r="A9" s="7">
        <v>8502062</v>
      </c>
      <c r="B9" s="142" t="s">
        <v>6</v>
      </c>
      <c r="C9" s="400">
        <v>0</v>
      </c>
      <c r="D9" s="21">
        <v>0</v>
      </c>
    </row>
    <row r="10" spans="1:4">
      <c r="A10" s="7">
        <v>8503404</v>
      </c>
      <c r="B10" s="142" t="s">
        <v>166</v>
      </c>
      <c r="C10" s="400">
        <v>0</v>
      </c>
      <c r="D10" s="21">
        <v>0</v>
      </c>
    </row>
    <row r="11" spans="1:4">
      <c r="A11" s="7">
        <v>8502103</v>
      </c>
      <c r="B11" s="142" t="s">
        <v>8</v>
      </c>
      <c r="C11" s="400">
        <v>0</v>
      </c>
      <c r="D11" s="21">
        <v>0</v>
      </c>
    </row>
    <row r="12" spans="1:4">
      <c r="A12" s="7">
        <v>8502111</v>
      </c>
      <c r="B12" s="142" t="s">
        <v>9</v>
      </c>
      <c r="C12" s="400">
        <v>0</v>
      </c>
      <c r="D12" s="21">
        <v>0</v>
      </c>
    </row>
    <row r="13" spans="1:4">
      <c r="A13" s="7">
        <v>8502127</v>
      </c>
      <c r="B13" s="142" t="s">
        <v>11</v>
      </c>
      <c r="C13" s="400">
        <v>0</v>
      </c>
      <c r="D13" s="21">
        <v>0</v>
      </c>
    </row>
    <row r="14" spans="1:4">
      <c r="A14" s="7">
        <v>8502291</v>
      </c>
      <c r="B14" s="142" t="s">
        <v>159</v>
      </c>
      <c r="C14" s="400">
        <v>0</v>
      </c>
      <c r="D14" s="21">
        <v>0</v>
      </c>
    </row>
    <row r="15" spans="1:4">
      <c r="A15" s="7">
        <v>8502220</v>
      </c>
      <c r="B15" s="142" t="s">
        <v>12</v>
      </c>
      <c r="C15" s="400">
        <v>8662.5</v>
      </c>
      <c r="D15" s="21">
        <v>875</v>
      </c>
    </row>
    <row r="16" spans="1:4">
      <c r="A16" s="7">
        <v>8502228</v>
      </c>
      <c r="B16" s="142" t="s">
        <v>13</v>
      </c>
      <c r="C16" s="400">
        <v>0</v>
      </c>
      <c r="D16" s="21">
        <v>0</v>
      </c>
    </row>
    <row r="17" spans="1:4">
      <c r="A17" s="7">
        <v>8502237</v>
      </c>
      <c r="B17" s="142" t="s">
        <v>14</v>
      </c>
      <c r="C17" s="400">
        <v>0</v>
      </c>
      <c r="D17" s="21">
        <v>0</v>
      </c>
    </row>
    <row r="18" spans="1:4">
      <c r="A18" s="7">
        <v>8502339</v>
      </c>
      <c r="B18" s="142" t="s">
        <v>162</v>
      </c>
      <c r="C18" s="400">
        <v>0</v>
      </c>
      <c r="D18" s="21">
        <v>0</v>
      </c>
    </row>
    <row r="19" spans="1:4">
      <c r="A19" s="8">
        <v>8502347</v>
      </c>
      <c r="B19" s="142" t="s">
        <v>15</v>
      </c>
      <c r="C19" s="400">
        <v>0</v>
      </c>
      <c r="D19" s="21">
        <v>0</v>
      </c>
    </row>
    <row r="20" spans="1:4">
      <c r="A20" s="7">
        <v>8502377</v>
      </c>
      <c r="B20" s="142" t="s">
        <v>16</v>
      </c>
      <c r="C20" s="400">
        <v>0</v>
      </c>
      <c r="D20" s="21">
        <v>0</v>
      </c>
    </row>
    <row r="21" spans="1:4">
      <c r="A21" s="7">
        <v>8502520</v>
      </c>
      <c r="B21" s="142" t="s">
        <v>17</v>
      </c>
      <c r="C21" s="400">
        <v>0</v>
      </c>
      <c r="D21" s="21">
        <v>0</v>
      </c>
    </row>
    <row r="22" spans="1:4">
      <c r="A22" s="7">
        <v>8502531</v>
      </c>
      <c r="B22" s="142" t="s">
        <v>18</v>
      </c>
      <c r="C22" s="400">
        <v>0</v>
      </c>
      <c r="D22" s="21">
        <v>0</v>
      </c>
    </row>
    <row r="23" spans="1:4">
      <c r="A23" s="7">
        <v>8502533</v>
      </c>
      <c r="B23" s="142" t="s">
        <v>19</v>
      </c>
      <c r="C23" s="400">
        <v>0</v>
      </c>
      <c r="D23" s="21">
        <v>0</v>
      </c>
    </row>
    <row r="24" spans="1:4">
      <c r="A24" s="7">
        <v>8502534</v>
      </c>
      <c r="B24" s="142" t="s">
        <v>20</v>
      </c>
      <c r="C24" s="400">
        <v>0</v>
      </c>
      <c r="D24" s="21">
        <v>0</v>
      </c>
    </row>
    <row r="25" spans="1:4">
      <c r="A25" s="7">
        <v>8502732</v>
      </c>
      <c r="B25" s="142" t="s">
        <v>21</v>
      </c>
      <c r="C25" s="400">
        <v>0</v>
      </c>
      <c r="D25" s="21">
        <v>0</v>
      </c>
    </row>
    <row r="26" spans="1:4">
      <c r="A26" s="7">
        <v>8502270</v>
      </c>
      <c r="B26" s="142" t="s">
        <v>156</v>
      </c>
      <c r="C26" s="400">
        <v>0</v>
      </c>
      <c r="D26" s="21">
        <v>0</v>
      </c>
    </row>
    <row r="27" spans="1:4">
      <c r="A27" s="7">
        <v>8502774</v>
      </c>
      <c r="B27" s="142" t="s">
        <v>22</v>
      </c>
      <c r="C27" s="400">
        <v>0</v>
      </c>
      <c r="D27" s="21">
        <v>0</v>
      </c>
    </row>
    <row r="28" spans="1:4">
      <c r="A28" s="7">
        <v>8502776</v>
      </c>
      <c r="B28" s="142" t="s">
        <v>23</v>
      </c>
      <c r="C28" s="400">
        <v>0</v>
      </c>
      <c r="D28" s="21">
        <v>0</v>
      </c>
    </row>
    <row r="29" spans="1:4">
      <c r="A29" s="7">
        <v>8502777</v>
      </c>
      <c r="B29" s="142" t="s">
        <v>24</v>
      </c>
      <c r="C29" s="400">
        <v>0</v>
      </c>
      <c r="D29" s="21">
        <v>0</v>
      </c>
    </row>
    <row r="30" spans="1:4">
      <c r="A30" s="7">
        <v>8503101</v>
      </c>
      <c r="B30" s="142" t="s">
        <v>25</v>
      </c>
      <c r="C30" s="400">
        <v>0</v>
      </c>
      <c r="D30" s="21">
        <v>0</v>
      </c>
    </row>
    <row r="31" spans="1:4">
      <c r="A31" s="7">
        <v>8503124</v>
      </c>
      <c r="B31" s="142" t="s">
        <v>163</v>
      </c>
      <c r="C31" s="400">
        <v>0</v>
      </c>
      <c r="D31" s="21">
        <v>0</v>
      </c>
    </row>
    <row r="32" spans="1:4">
      <c r="A32" s="7">
        <v>8503192</v>
      </c>
      <c r="B32" s="142" t="s">
        <v>164</v>
      </c>
      <c r="C32" s="400">
        <v>0</v>
      </c>
      <c r="D32" s="21">
        <v>0</v>
      </c>
    </row>
    <row r="33" spans="1:4">
      <c r="A33" s="7">
        <v>8503197</v>
      </c>
      <c r="B33" s="142" t="s">
        <v>216</v>
      </c>
      <c r="C33" s="400">
        <v>0</v>
      </c>
      <c r="D33" s="21">
        <v>0</v>
      </c>
    </row>
    <row r="34" spans="1:4">
      <c r="A34" s="7">
        <v>8503665</v>
      </c>
      <c r="B34" s="142" t="s">
        <v>26</v>
      </c>
      <c r="C34" s="400">
        <v>0</v>
      </c>
      <c r="D34" s="21">
        <v>0</v>
      </c>
    </row>
    <row r="35" spans="1:4">
      <c r="A35" s="8">
        <v>8504000</v>
      </c>
      <c r="B35" s="142" t="s">
        <v>27</v>
      </c>
      <c r="C35" s="400">
        <v>0</v>
      </c>
      <c r="D35" s="21">
        <v>0</v>
      </c>
    </row>
    <row r="36" spans="1:4">
      <c r="A36" s="8">
        <v>8504007</v>
      </c>
      <c r="B36" s="142" t="s">
        <v>170</v>
      </c>
      <c r="C36" s="400">
        <v>0</v>
      </c>
      <c r="D36" s="21">
        <v>0</v>
      </c>
    </row>
    <row r="37" spans="1:4">
      <c r="A37" s="8">
        <v>8504110</v>
      </c>
      <c r="B37" s="142" t="s">
        <v>29</v>
      </c>
      <c r="C37" s="400">
        <v>0</v>
      </c>
      <c r="D37" s="21">
        <v>0</v>
      </c>
    </row>
    <row r="38" spans="1:4">
      <c r="A38" s="8">
        <v>8504113</v>
      </c>
      <c r="B38" s="142" t="s">
        <v>30</v>
      </c>
      <c r="C38" s="400">
        <v>0</v>
      </c>
      <c r="D38" s="21">
        <v>0</v>
      </c>
    </row>
    <row r="39" spans="1:4">
      <c r="A39" s="8">
        <v>8504128</v>
      </c>
      <c r="B39" s="142" t="s">
        <v>31</v>
      </c>
      <c r="C39" s="400">
        <v>0</v>
      </c>
      <c r="D39" s="21">
        <v>0</v>
      </c>
    </row>
    <row r="40" spans="1:4">
      <c r="A40" s="8">
        <v>8504130</v>
      </c>
      <c r="B40" s="142" t="s">
        <v>174</v>
      </c>
      <c r="C40" s="400">
        <v>0</v>
      </c>
      <c r="D40" s="21">
        <v>0</v>
      </c>
    </row>
    <row r="41" spans="1:4">
      <c r="A41" s="8">
        <v>8504133</v>
      </c>
      <c r="B41" s="142" t="s">
        <v>32</v>
      </c>
      <c r="C41" s="400">
        <v>0</v>
      </c>
      <c r="D41" s="21">
        <v>0</v>
      </c>
    </row>
    <row r="42" spans="1:4">
      <c r="A42" s="8">
        <v>8504143</v>
      </c>
      <c r="B42" s="142" t="s">
        <v>33</v>
      </c>
      <c r="C42" s="400">
        <v>0</v>
      </c>
      <c r="D42" s="21">
        <v>0</v>
      </c>
    </row>
    <row r="43" spans="1:4">
      <c r="A43" s="8">
        <v>8504159</v>
      </c>
      <c r="B43" s="142" t="s">
        <v>175</v>
      </c>
      <c r="C43" s="400">
        <v>0</v>
      </c>
      <c r="D43" s="21">
        <v>0</v>
      </c>
    </row>
    <row r="44" spans="1:4">
      <c r="A44" s="8">
        <v>8504173</v>
      </c>
      <c r="B44" s="5" t="s">
        <v>34</v>
      </c>
      <c r="C44" s="400">
        <v>0</v>
      </c>
      <c r="D44" s="21">
        <v>0</v>
      </c>
    </row>
    <row r="45" spans="1:4">
      <c r="A45" s="8">
        <v>8504174</v>
      </c>
      <c r="B45" s="142" t="s">
        <v>35</v>
      </c>
      <c r="C45" s="400">
        <v>0</v>
      </c>
      <c r="D45" s="21">
        <v>0</v>
      </c>
    </row>
    <row r="46" spans="1:4">
      <c r="A46" s="8">
        <v>8504180</v>
      </c>
      <c r="B46" s="142" t="s">
        <v>36</v>
      </c>
      <c r="C46" s="400">
        <v>0</v>
      </c>
      <c r="D46" s="21">
        <v>0</v>
      </c>
    </row>
    <row r="47" spans="1:4">
      <c r="A47" s="8">
        <v>8504164</v>
      </c>
      <c r="B47" s="142" t="s">
        <v>37</v>
      </c>
      <c r="C47" s="400">
        <v>0</v>
      </c>
      <c r="D47" s="21">
        <v>0</v>
      </c>
    </row>
    <row r="48" spans="1:4">
      <c r="A48" s="8">
        <v>8504191</v>
      </c>
      <c r="B48" s="142" t="s">
        <v>38</v>
      </c>
      <c r="C48" s="400">
        <v>0</v>
      </c>
      <c r="D48" s="21">
        <v>0</v>
      </c>
    </row>
    <row r="49" spans="1:4">
      <c r="A49" s="8">
        <v>8504203</v>
      </c>
      <c r="B49" s="142" t="s">
        <v>39</v>
      </c>
      <c r="C49" s="400">
        <v>0</v>
      </c>
      <c r="D49" s="21">
        <v>0</v>
      </c>
    </row>
    <row r="50" spans="1:4">
      <c r="A50" s="8">
        <v>8504206</v>
      </c>
      <c r="B50" s="142" t="s">
        <v>40</v>
      </c>
      <c r="C50" s="400">
        <v>0</v>
      </c>
      <c r="D50" s="21">
        <v>0</v>
      </c>
    </row>
    <row r="51" spans="1:4">
      <c r="A51" s="8">
        <v>8504308</v>
      </c>
      <c r="B51" s="142" t="s">
        <v>41</v>
      </c>
      <c r="C51" s="400">
        <v>7533</v>
      </c>
      <c r="D51" s="21">
        <v>2511</v>
      </c>
    </row>
    <row r="52" spans="1:4">
      <c r="A52" s="8">
        <v>8504310</v>
      </c>
      <c r="B52" s="142" t="s">
        <v>42</v>
      </c>
      <c r="C52" s="400">
        <v>0</v>
      </c>
      <c r="D52" s="21">
        <v>0</v>
      </c>
    </row>
    <row r="53" spans="1:4">
      <c r="A53" s="8">
        <v>8504511</v>
      </c>
      <c r="B53" s="142" t="s">
        <v>43</v>
      </c>
      <c r="C53" s="400">
        <v>0</v>
      </c>
      <c r="D53" s="21">
        <v>0</v>
      </c>
    </row>
    <row r="54" spans="1:4">
      <c r="A54" s="8">
        <v>8505205</v>
      </c>
      <c r="B54" s="142" t="s">
        <v>178</v>
      </c>
      <c r="C54" s="400">
        <v>0</v>
      </c>
      <c r="D54" s="21">
        <v>0</v>
      </c>
    </row>
    <row r="55" spans="1:4">
      <c r="A55" s="8">
        <v>8505208</v>
      </c>
      <c r="B55" s="142" t="s">
        <v>44</v>
      </c>
      <c r="C55" s="400">
        <v>0</v>
      </c>
      <c r="D55" s="21">
        <v>0</v>
      </c>
    </row>
    <row r="56" spans="1:4">
      <c r="A56" s="8">
        <v>8505405</v>
      </c>
      <c r="B56" s="142" t="s">
        <v>45</v>
      </c>
      <c r="C56" s="400">
        <v>0</v>
      </c>
      <c r="D56" s="21">
        <v>0</v>
      </c>
    </row>
    <row r="57" spans="1:4">
      <c r="A57" s="8">
        <v>8505412</v>
      </c>
      <c r="B57" s="142" t="s">
        <v>46</v>
      </c>
      <c r="C57" s="400">
        <v>0</v>
      </c>
      <c r="D57" s="21">
        <v>0</v>
      </c>
    </row>
    <row r="58" spans="1:4" ht="15.75" thickBot="1">
      <c r="A58" s="8">
        <v>8505416</v>
      </c>
      <c r="B58" s="142" t="s">
        <v>181</v>
      </c>
      <c r="C58" s="236">
        <v>0</v>
      </c>
      <c r="D58" s="237">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A1:XFC42"/>
  <sheetViews>
    <sheetView tabSelected="1" workbookViewId="0">
      <selection activeCell="G2" sqref="G2:H2"/>
    </sheetView>
  </sheetViews>
  <sheetFormatPr defaultColWidth="0" defaultRowHeight="15" zeroHeight="1"/>
  <cols>
    <col min="1" max="1" width="5.5703125" style="563" customWidth="1"/>
    <col min="2" max="2" width="7" customWidth="1"/>
    <col min="3" max="3" width="9.140625" customWidth="1"/>
    <col min="4" max="4" width="11" customWidth="1"/>
    <col min="5" max="5" width="30.42578125" customWidth="1"/>
    <col min="6" max="6" width="23.5703125" customWidth="1"/>
    <col min="7" max="7" width="14.85546875" customWidth="1"/>
    <col min="8" max="8" width="20" customWidth="1"/>
    <col min="9" max="9" width="5.5703125" style="563" customWidth="1"/>
    <col min="10" max="10" width="0" hidden="1" customWidth="1"/>
    <col min="11" max="16383" width="9.140625" hidden="1"/>
    <col min="16384" max="16384" width="0.140625" hidden="1" customWidth="1"/>
  </cols>
  <sheetData>
    <row r="1" spans="1:10" s="563" customFormat="1" ht="16.5" customHeight="1" thickBot="1">
      <c r="B1" s="612"/>
      <c r="C1" s="612"/>
      <c r="D1" s="612"/>
      <c r="E1" s="612"/>
      <c r="F1" s="612"/>
      <c r="G1" s="612"/>
      <c r="H1" s="577" t="e">
        <f>VLOOKUP(G2,Data!$A$4:$K$81,11,FALSE)</f>
        <v>#N/A</v>
      </c>
    </row>
    <row r="2" spans="1:10" ht="24.75" thickTop="1" thickBot="1">
      <c r="B2" s="631" t="s">
        <v>47</v>
      </c>
      <c r="C2" s="632"/>
      <c r="D2" s="632"/>
      <c r="E2" s="632"/>
      <c r="F2" s="633"/>
      <c r="G2" s="622"/>
      <c r="H2" s="623"/>
    </row>
    <row r="3" spans="1:10" s="563" customFormat="1" ht="15.75" thickTop="1"/>
    <row r="4" spans="1:10" ht="18">
      <c r="B4" s="617" t="s">
        <v>48</v>
      </c>
      <c r="C4" s="618"/>
      <c r="D4" s="618"/>
      <c r="E4" s="618"/>
      <c r="F4" s="618"/>
      <c r="G4" s="618"/>
      <c r="H4" s="619"/>
    </row>
    <row r="5" spans="1:10" s="563" customFormat="1" ht="11.25" customHeight="1">
      <c r="B5" s="578"/>
      <c r="C5" s="578"/>
      <c r="D5" s="578"/>
      <c r="E5" s="578"/>
      <c r="F5" s="578"/>
    </row>
    <row r="6" spans="1:10" ht="20.25">
      <c r="B6" s="626" t="str">
        <f>IF($G$2="","",VLOOKUP($G$2,Data!A:B,2,FALSE))</f>
        <v/>
      </c>
      <c r="C6" s="627"/>
      <c r="D6" s="627"/>
      <c r="E6" s="627"/>
      <c r="F6" s="627"/>
      <c r="G6" s="627"/>
      <c r="H6" s="628"/>
    </row>
    <row r="7" spans="1:10" s="563" customFormat="1" ht="8.25" customHeight="1">
      <c r="B7" s="579"/>
      <c r="C7" s="579"/>
      <c r="D7" s="579"/>
      <c r="E7" s="579"/>
      <c r="F7" s="579"/>
      <c r="G7" s="579"/>
      <c r="H7" s="579"/>
    </row>
    <row r="8" spans="1:10" s="3" customFormat="1" ht="18.75">
      <c r="A8" s="564"/>
      <c r="B8" s="624" t="s">
        <v>49</v>
      </c>
      <c r="C8" s="625"/>
      <c r="D8" s="625"/>
      <c r="E8" s="625"/>
      <c r="F8" s="585" t="s">
        <v>50</v>
      </c>
      <c r="G8" s="586" t="str">
        <f>IF($G$2="","",_xlfn.XLOOKUP(RIGHT($G$2,4)*1,APN!A:A,APN!D:D))</f>
        <v/>
      </c>
      <c r="H8" s="346" t="str">
        <f>IF($G$2="","",VLOOKUP($G$2,'Budget Shares'!$A$5:$H$82,6,FALSE)&amp;IF(VLOOKUP($G$2,'Budget Shares'!$A$5:$H$82,7,FALSE)&lt;&gt;"","&amp;"&amp;VLOOKUP($G$2,'Budget Shares'!$A$5:$H$82,7,FALSE),"")&amp;IF(VLOOKUP($G$2,'Budget Shares'!$A$5:$H$82,8,FALSE)&lt;&gt;"","&amp;"&amp;VLOOKUP($G$2,'Budget Shares'!$A$5:$H$82,8,FALSE),""))</f>
        <v/>
      </c>
      <c r="I8" s="564"/>
    </row>
    <row r="9" spans="1:10" s="564" customFormat="1" ht="13.5" customHeight="1" thickBot="1">
      <c r="B9" s="580"/>
      <c r="C9" s="580"/>
      <c r="D9" s="580"/>
      <c r="E9" s="580"/>
      <c r="F9" s="581"/>
      <c r="G9" s="581"/>
      <c r="H9" s="581"/>
    </row>
    <row r="10" spans="1:10" s="2" customFormat="1" ht="62.25" customHeight="1" thickBot="1">
      <c r="A10" s="565"/>
      <c r="B10" s="615" t="s">
        <v>51</v>
      </c>
      <c r="C10" s="616"/>
      <c r="D10" s="616"/>
      <c r="E10" s="616"/>
      <c r="F10" s="55" t="s">
        <v>52</v>
      </c>
      <c r="G10" s="55" t="s">
        <v>53</v>
      </c>
      <c r="H10" s="56" t="s">
        <v>54</v>
      </c>
      <c r="I10" s="568"/>
      <c r="J10" s="20"/>
    </row>
    <row r="11" spans="1:10" ht="15.75">
      <c r="A11" s="566"/>
      <c r="B11" s="115" t="str">
        <f>"Agreed Place Numbers (APN)"&amp;IF(IFERROR(FIND("&amp;",$H$8),0)&gt;1," - "&amp;LEFT($H$8,FIND("&amp;",$H$8)-1)&amp;" Provision","")</f>
        <v>Agreed Place Numbers (APN)</v>
      </c>
      <c r="C11" s="81"/>
      <c r="D11" s="81"/>
      <c r="E11" s="81"/>
      <c r="F11" s="148" t="e">
        <f>IF(acad=1,0,SUMIFS(APN!$L$3:$L$97,APN!$A$3:$A$97,RIGHT($G$2,4),APN!$H$3:$H$97,IF(IFERROR(FIND("&amp;",$H$8),0)&gt;1,LEFT($H$8,FIND("&amp;",$H$8)-1),$H$8)))</f>
        <v>#N/A</v>
      </c>
      <c r="G11" s="584" t="str">
        <f>IF($G$2="","",place)</f>
        <v/>
      </c>
      <c r="H11" s="83" t="str">
        <f>IF($G$2="","",ROUND(F11*G11,0))</f>
        <v/>
      </c>
    </row>
    <row r="12" spans="1:10" ht="15.75">
      <c r="A12" s="566"/>
      <c r="B12" s="84"/>
      <c r="C12" s="91" t="s">
        <v>55</v>
      </c>
      <c r="D12" s="92"/>
      <c r="E12" s="91"/>
      <c r="F12" s="149" t="e">
        <f>IF(acad=1,0,SUMIFS(APN!$I$3:$I$97,APN!$A$3:$A$97,RIGHT($G$2,4),APN!$H$3:$H$97,IF(IFERROR(FIND("&amp;",$H$8),0)&gt;1,LEFT($H$8,FIND("&amp;",$H$8)-1),$H$8)))</f>
        <v>#N/A</v>
      </c>
      <c r="G12" s="583"/>
      <c r="H12" s="86"/>
    </row>
    <row r="13" spans="1:10" ht="15.75">
      <c r="A13" s="566"/>
      <c r="B13" s="84"/>
      <c r="C13" s="91" t="s">
        <v>56</v>
      </c>
      <c r="D13" s="92"/>
      <c r="E13" s="91"/>
      <c r="F13" s="149" t="e">
        <f>IF(acad=1,0,SUMIFS(APN!$J$3:$J$97,APN!$A$3:$A$97,RIGHT($G$2,4),APN!$H$3:$H$97,IF(IFERROR(FIND("&amp;",$H$8),0)&gt;1,LEFT($H$8,FIND("&amp;",$H$8)-1),$H$8)))</f>
        <v>#N/A</v>
      </c>
      <c r="G13" s="583"/>
      <c r="H13" s="86"/>
    </row>
    <row r="14" spans="1:10" ht="12.75" customHeight="1">
      <c r="A14" s="566"/>
      <c r="B14" s="87"/>
      <c r="C14" s="91"/>
      <c r="D14" s="92"/>
      <c r="E14" s="91"/>
      <c r="F14" s="149"/>
      <c r="G14" s="583"/>
      <c r="H14" s="86"/>
    </row>
    <row r="15" spans="1:10" ht="15.75">
      <c r="A15" s="566"/>
      <c r="B15" s="87" t="str">
        <f>IF(IFERROR(FIND("&amp;",$H$8),0)&gt;1,"Agreed Place Numbers (APN) - "&amp;MID($H$8,FIND("&amp;",$H$8)+1,IFERROR(FIND("~",SUBSTITUTE($H$8,"&amp;","~",2))-1,LEN($H$8))-FIND("&amp;",$H$8))&amp;" Provision","")</f>
        <v/>
      </c>
      <c r="C15" s="91"/>
      <c r="D15" s="92"/>
      <c r="E15" s="91"/>
      <c r="F15" s="149" t="str">
        <f>IF($B$15="","",IF(acad=1,0,SUMIFS(APN!$L$3:$L$97,APN!$A$3:$A$97,RIGHT($G$2,4),APN!$H$3:$H$97,MID(H8,FIND("&amp;",H8)+1,IFERROR(FIND("~",SUBSTITUTE(H8,"&amp;","~",2))-1,LEN(H8))-FIND("&amp;",H8)))))</f>
        <v/>
      </c>
      <c r="G15" s="583" t="str">
        <f>IF($B$15="","",place)</f>
        <v/>
      </c>
      <c r="H15" s="86" t="str">
        <f>IF(B15="","",ROUND(F15*G15,0))</f>
        <v/>
      </c>
    </row>
    <row r="16" spans="1:10" ht="15.75">
      <c r="A16" s="566"/>
      <c r="B16" s="84"/>
      <c r="C16" s="91" t="str">
        <f>IF($B$15="","","Academic year 2025/26 (5/12)")</f>
        <v/>
      </c>
      <c r="D16" s="92"/>
      <c r="E16" s="91"/>
      <c r="F16" s="149" t="str">
        <f>IF($B$15="","",IF(acad=1,0,SUMIFS(APN!$I$3:$I$97,APN!$A$3:$A$97,RIGHT($G$2,4),APN!$H$3:$H$97,MID(H8,FIND("&amp;",H8)+1,IFERROR(FIND("~",SUBSTITUTE(H8,"&amp;","~",2))-1,LEN(H8))-FIND("&amp;",H8)))))</f>
        <v/>
      </c>
      <c r="G16" s="583"/>
      <c r="H16" s="86"/>
    </row>
    <row r="17" spans="1:9" ht="15.75">
      <c r="A17" s="566"/>
      <c r="B17" s="84"/>
      <c r="C17" s="91" t="str">
        <f>IF($B$15="","","Academic year 2026/27 (7/12)")</f>
        <v/>
      </c>
      <c r="D17" s="92"/>
      <c r="E17" s="91"/>
      <c r="F17" s="149" t="str">
        <f>IF($B$15="","",IF(acad=1,0,SUMIFS(APN!$J$3:$J$97,APN!$A$3:$A$97,RIGHT($G$2,4),APN!$H$3:$H$97,MID(H8,FIND("&amp;",H8)+1,IFERROR(FIND("~",SUBSTITUTE(H8,"&amp;","~",2))-1,LEN(H8))-FIND("&amp;",H8)))))</f>
        <v/>
      </c>
      <c r="G17" s="583"/>
      <c r="H17" s="86"/>
    </row>
    <row r="18" spans="1:9" ht="15.75">
      <c r="A18" s="566"/>
      <c r="B18" s="84"/>
      <c r="C18" s="91"/>
      <c r="D18" s="92"/>
      <c r="E18" s="91"/>
      <c r="F18" s="93"/>
      <c r="G18" s="583"/>
      <c r="H18" s="86"/>
    </row>
    <row r="19" spans="1:9" ht="15.75">
      <c r="A19" s="566"/>
      <c r="B19" s="87" t="str">
        <f>IF(IFERROR(FIND("~",SUBSTITUTE($H$8,"&amp;","~",2)),0)&gt;1,"Agreed Place Numbers (APN) - "&amp;RIGHT($H$8,LEN($H$8)-FIND("~",SUBSTITUTE($H$8,"&amp;","~",2)))&amp;" Provision","")</f>
        <v/>
      </c>
      <c r="C19" s="91"/>
      <c r="D19" s="92"/>
      <c r="E19" s="91"/>
      <c r="F19" s="149" t="str">
        <f>IF($B$19="","",IF(acad=1,0,SUMIFS(APN!$L$3:$L$97,APN!$A$3:$A$97,RIGHT($G$2,4),APN!$H$3:$H$97,RIGHT($H$8,LEN($H$8)-FIND("~",SUBSTITUTE(H8,"&amp;","~",2))))))</f>
        <v/>
      </c>
      <c r="G19" s="583" t="str">
        <f>IF($B$19="","",place)</f>
        <v/>
      </c>
      <c r="H19" s="86" t="str">
        <f>IF(B19="","",ROUND(F19*G19,0))</f>
        <v/>
      </c>
    </row>
    <row r="20" spans="1:9" ht="15.75">
      <c r="A20" s="566"/>
      <c r="B20" s="84"/>
      <c r="C20" s="91" t="str">
        <f>IF($B$19="","","Academic year 2025/26 (5/12)")</f>
        <v/>
      </c>
      <c r="D20" s="92"/>
      <c r="E20" s="91"/>
      <c r="F20" s="149" t="str">
        <f>IF($B$19="","",IF(acad=1,0,SUMIFS(APN!$I$3:$I$97,APN!$A$3:$A$97,RIGHT($G$2,4),APN!$H$3:$H$97,RIGHT($H$8,LEN($H$8)-FIND("~",SUBSTITUTE(H8,"&amp;","~",2))))))</f>
        <v/>
      </c>
      <c r="G20" s="583"/>
      <c r="H20" s="86"/>
    </row>
    <row r="21" spans="1:9" ht="15.75">
      <c r="A21" s="566"/>
      <c r="B21" s="84"/>
      <c r="C21" s="91" t="str">
        <f>IF($B$19="","","Academic year 2026/27 (7/12)")</f>
        <v/>
      </c>
      <c r="D21" s="92"/>
      <c r="E21" s="91"/>
      <c r="F21" s="149" t="str">
        <f>IF($B$19="","",IF(acad=1,0,SUMIFS(APN!$J$3:$J$97,APN!$A$3:$A$97,RIGHT($G$2,4),APN!$H$3:$H$97,RIGHT($H$8,LEN($H$8)-FIND("~",SUBSTITUTE(H8,"&amp;","~",2))))))</f>
        <v/>
      </c>
      <c r="G21" s="583"/>
      <c r="H21" s="86"/>
    </row>
    <row r="22" spans="1:9" ht="15.75">
      <c r="A22" s="566"/>
      <c r="B22" s="84"/>
      <c r="C22" s="91"/>
      <c r="D22" s="92"/>
      <c r="E22" s="91"/>
      <c r="F22" s="93"/>
      <c r="G22" s="583"/>
      <c r="H22" s="86"/>
    </row>
    <row r="23" spans="1:9" ht="15.75">
      <c r="A23" s="566"/>
      <c r="B23" s="87" t="str">
        <f>IFERROR(IF(VLOOKUP($G$2,'NOR Special Units'!$B$12:$AF$85,31,FALSE)=0,"","Additional Funding for Unoccupied Places"),"")</f>
        <v/>
      </c>
      <c r="C23" s="91"/>
      <c r="D23" s="92"/>
      <c r="E23" s="91"/>
      <c r="F23" s="149" t="str">
        <f>IF($G$2="","",IF(acad=1,0,IF(B23="","",VLOOKUP($G$2,'NOR Special Units'!$B$10:$AF$85,31,FALSE))))</f>
        <v/>
      </c>
      <c r="G23" s="583" t="str">
        <f>IF($G$2="","",IF(B23="","",Values!$D$28))</f>
        <v/>
      </c>
      <c r="H23" s="86" t="str">
        <f>IF($G$2="","",IF(B23="","",ROUND(F23*G23,0)))</f>
        <v/>
      </c>
    </row>
    <row r="24" spans="1:9" ht="15.75">
      <c r="A24" s="566"/>
      <c r="B24" s="84"/>
      <c r="C24" s="91"/>
      <c r="D24" s="92"/>
      <c r="E24" s="91"/>
      <c r="F24" s="93"/>
      <c r="G24" s="85"/>
      <c r="H24" s="86"/>
    </row>
    <row r="25" spans="1:9" ht="15.75">
      <c r="A25" s="566"/>
      <c r="B25" s="87" t="s">
        <v>57</v>
      </c>
      <c r="C25" s="91"/>
      <c r="D25" s="92"/>
      <c r="E25" s="91"/>
      <c r="F25" s="149" t="e">
        <f>F11+IF(F15="",0,F15)+IF(F19="",0,F19)</f>
        <v>#N/A</v>
      </c>
      <c r="G25" s="583" t="str">
        <f>IF($G$2="","",_xlfn.XLOOKUP($G$2,Data!$D$86:$D$164,Data!$F$86:$F$164))</f>
        <v/>
      </c>
      <c r="H25" s="86" t="str">
        <f>IF($G$2="","",IF(B25="","",F25*G25))</f>
        <v/>
      </c>
    </row>
    <row r="26" spans="1:9" ht="15.75">
      <c r="A26" s="566"/>
      <c r="B26" s="87"/>
      <c r="C26" s="91"/>
      <c r="D26" s="92"/>
      <c r="E26" s="91"/>
      <c r="F26" s="149"/>
      <c r="G26" s="583"/>
      <c r="H26" s="86"/>
    </row>
    <row r="27" spans="1:9" ht="15.75">
      <c r="A27" s="566"/>
      <c r="B27" s="87" t="s">
        <v>58</v>
      </c>
      <c r="C27" s="91"/>
      <c r="D27" s="92"/>
      <c r="E27" s="91"/>
      <c r="F27" s="149" t="e">
        <f>F11+IF(F15="",0,F15)+IF(F19="",0,F19)</f>
        <v>#N/A</v>
      </c>
      <c r="G27" s="583" t="str">
        <f>IF($G$2="","",legacy)</f>
        <v/>
      </c>
      <c r="H27" s="86" t="str">
        <f>IF($G$2="","",IF(B27="","",F27*G27))</f>
        <v/>
      </c>
    </row>
    <row r="28" spans="1:9" ht="16.5" thickBot="1">
      <c r="B28" s="88"/>
      <c r="C28" s="89"/>
      <c r="D28" s="89"/>
      <c r="E28" s="89"/>
      <c r="F28" s="89"/>
      <c r="G28" s="89"/>
      <c r="H28" s="90"/>
    </row>
    <row r="29" spans="1:9" s="3" customFormat="1" ht="19.5" thickBot="1">
      <c r="A29" s="564"/>
      <c r="B29" s="57" t="s">
        <v>59</v>
      </c>
      <c r="C29" s="58"/>
      <c r="D29" s="58"/>
      <c r="E29" s="58"/>
      <c r="F29" s="58"/>
      <c r="G29" s="58"/>
      <c r="H29" s="59" t="str">
        <f>IF($G$2="","",SUM(H11:H28))</f>
        <v/>
      </c>
      <c r="I29" s="564"/>
    </row>
    <row r="30" spans="1:9" s="563" customFormat="1" ht="15" customHeight="1" thickBot="1">
      <c r="A30" s="567"/>
      <c r="B30" s="567"/>
      <c r="C30" s="567"/>
      <c r="D30" s="567"/>
      <c r="E30" s="567"/>
      <c r="F30" s="567"/>
      <c r="G30" s="567"/>
      <c r="H30" s="567"/>
    </row>
    <row r="31" spans="1:9" s="2" customFormat="1" ht="71.25" customHeight="1" thickBot="1">
      <c r="A31" s="568"/>
      <c r="B31" s="615" t="s">
        <v>60</v>
      </c>
      <c r="C31" s="616"/>
      <c r="D31" s="616"/>
      <c r="E31" s="616"/>
      <c r="F31" s="55" t="s">
        <v>52</v>
      </c>
      <c r="G31" s="55" t="s">
        <v>53</v>
      </c>
      <c r="H31" s="56" t="s">
        <v>54</v>
      </c>
      <c r="I31" s="568"/>
    </row>
    <row r="32" spans="1:9" ht="15.75">
      <c r="A32" s="569"/>
      <c r="B32" s="125" t="s">
        <v>61</v>
      </c>
      <c r="C32" s="81" t="str">
        <f>IF($G$2="","",VLOOKUP(VLOOKUP($G$2,Data!A:J,10,FALSE),Values!B4:E27,4,FALSE))</f>
        <v/>
      </c>
      <c r="D32" s="81"/>
      <c r="E32" s="81"/>
      <c r="F32" s="148" t="str">
        <f>IF($G$2="","",IF(acad=1,0,VLOOKUP($G$2,Data!$A$4:$F$81,6,FALSE)))</f>
        <v/>
      </c>
      <c r="G32" s="82" t="str" cm="1">
        <f t="array" ref="G32">IFERROR(INDEX(Values!$D$4:$D$27,MATCH(1,(Values!$B$4:$B$27=VLOOKUP($G$2,Data!A4:J81,10,FALSE))*(Values!$C$4:$C$27=VLOOKUP($G$2,Data!A4:I81,9,FALSE)),0)),"")</f>
        <v/>
      </c>
      <c r="H32" s="83" t="str">
        <f>IF($G$2="","",ROUND(F32*G32,0))</f>
        <v/>
      </c>
    </row>
    <row r="33" spans="1:9" ht="15.75">
      <c r="A33" s="567"/>
      <c r="B33" s="87" t="str">
        <f>IF($G$2="","",IF(C33="","","ii)"))</f>
        <v/>
      </c>
      <c r="C33" s="91" t="str">
        <f>IFERROR(IF(VLOOKUP(G2,Data!$A$3:$V$82,17,FALSE)=0,"",IF(VLOOKUP(G2,Data!A:Q,17,FALSE)="VI","Additional Funding - Tactile Learners",IF(VLOOKUP(G2,Data!A:Q,17,FALSE)="HI","Additional Funding - Signers",IF(VLOOKUP(G2,Data!A:Q,17,FALSE)="NA","Nurture &amp; Assessment",IF(VLOOKUP(G2,Data!A:Q,17,FALSE)="ASC","Autistic Spectrum Conditions",IF(VLOOKUP(G2,Data!A:Q,17,FALSE)="MLD","Moderate Learning Difficulties",IF(VLOOKUP(G2,Data!A:Q,17,FALSE)="SEMH","Social, Emotional &amp; Mental Health",IF(VLOOKUP(G2,Data!A:Q,17,FALSE)="SLCN","Speech, Language and Communication Needs","")))))))),"")</f>
        <v/>
      </c>
      <c r="D33" s="91"/>
      <c r="E33" s="91"/>
      <c r="F33" s="149" t="str">
        <f>IFERROR(IF(C33="","",IF(acad=1,0,IF(VLOOKUP(G2,Data!A:Q,17,FALSE)=0,"",IF(VLOOKUP(G2,Data!A:Q,17,FALSE)="VI",VLOOKUP(G2,Data!A:U,18,FALSE),IF(VLOOKUP(G2,Data!A:Q,17,FALSE)="HI",VLOOKUP(G2,Data!A:U,19,FALSE),IF(VLOOKUP(G2,Data!A:Q,17,FALSE)="NA",VLOOKUP(G2,Data!A:U,20,FALSE),IF(VLOOKUP(G2,Data!A:Q,17,FALSE)="ASC",VLOOKUP(G2,Data!A:U,21,FALSE),IF(VLOOKUP(G2,Data!A:Q,17,FALSE)="MLD",VLOOKUP(G2,Data!A:V,22,FALSE),IF(VLOOKUP(G2,Data!A:Q,17,FALSE)="SEMH",VLOOKUP(G2,Data!A:X,23,FALSE),IF(VLOOKUP(G2,Data!A:Q,17,FALSE)="SLCN",VLOOKUP(G2,Data!A:X,24,FALSE),"")))))))))),"")</f>
        <v/>
      </c>
      <c r="G33" s="85" t="str" cm="1">
        <f t="array" aca="1" ref="G33" ca="1">IFERROR(IF(VLOOKUP(G2,Data!A:Q,17,FALSE)=0,"",INDIRECT(IF(VLOOKUP(G2,Data!A:Q,17,FALSE)="VI","TACT",IF(VLOOKUP(G2,Data!A:Q,17,FALSE)="HI","SIGN",VLOOKUP(G2,Data!A:Q,17,FALSE)))&amp;"_"&amp;VLOOKUP(G2,Data!A:Q,9,FALSE))),"")</f>
        <v/>
      </c>
      <c r="H33" s="86" t="str">
        <f>IF($G$2="","",IF(C33="","",ROUND(F33*G33,0)))</f>
        <v/>
      </c>
      <c r="I33" s="575"/>
    </row>
    <row r="34" spans="1:9" ht="15.75">
      <c r="A34" s="567"/>
      <c r="B34" s="87" t="str">
        <f>IF($G$2="","",IF(C34="","","iii)"))</f>
        <v/>
      </c>
      <c r="C34" s="91" t="str">
        <f>IFERROR(IF(VLOOKUP(G2,Data!$A$3:$AD$82,25,FALSE)=0,"",IF(VLOOKUP(G2,Data!A:AD,25,FALSE)="VI","Additional Funding - Tactile Learners",IF(VLOOKUP(G2,Data!A:AD,25,FALSE)="HI","Additional Funding - Signers",IF(VLOOKUP(G2,Data!A:AD,25,FALSE)="NA","Nurture &amp; Assessment",IF(VLOOKUP(G2,Data!A:AD,25,FALSE)="ASC","Autistic Spectrum Conditions",IF(VLOOKUP(G2,Data!A:AD,25,FALSE)="MLD","Moderate Learning Difficulties",IF(VLOOKUP(G2,Data!A:AD,25,FALSE)="SEMH","Social, Emotional &amp; Mental Health",IF(VLOOKUP(G2,Data!A:AD,25,FALSE)="SLCN","Speech, Language and Communication Needs","")))))))),"")</f>
        <v/>
      </c>
      <c r="D34" s="91"/>
      <c r="E34" s="91"/>
      <c r="F34" s="149" t="str">
        <f>IFERROR(IF(C34="","",IF(acad=1,0,IF(VLOOKUP(G2,Data!A:AD,25,FALSE)=0,"",IF(VLOOKUP(G2,Data!A:AD,25,FALSE)="NA",VLOOKUP(G2,Data!A:AD,26,FALSE),IF(VLOOKUP(G2,Data!A:AD,25,FALSE)="ASC",VLOOKUP(G2,Data!A:AD,27,FALSE),IF(VLOOKUP(G2,Data!A:AD,25,FALSE)="MLD",VLOOKUP(G2,Data!A:AD,28,FALSE),IF(VLOOKUP(G2,Data!A:AD,25,FALSE)="SEMH",VLOOKUP(G2,Data!A:AD,29,FALSE),IF(VLOOKUP(G2,Data!A:AD,25,FALSE)="SLCN",VLOOKUP(G2,Data!A:AD,30,FALSE),"")))))))),"")</f>
        <v/>
      </c>
      <c r="G34" s="85" t="str" cm="1">
        <f t="array" aca="1" ref="G34" ca="1">IFERROR(IF(VLOOKUP(G2,Data!A:AD,25,FALSE)=0,"",INDIRECT(IF(VLOOKUP(G2,Data!A:AD,25,FALSE)="VI","TACT",IF(VLOOKUP(G2,Data!A:AD,25,FALSE)="HI","SIGN",VLOOKUP(G2,Data!A:AD,25,FALSE)))&amp;"_"&amp;VLOOKUP(G2,Data!A:AD,9,FALSE))),"")</f>
        <v/>
      </c>
      <c r="H34" s="86" t="str">
        <f>IF($G$2="","",IF(C34="","",ROUND(F34*G34,0)))</f>
        <v/>
      </c>
      <c r="I34" s="575"/>
    </row>
    <row r="35" spans="1:9" ht="15.75">
      <c r="A35" s="567"/>
      <c r="B35" s="87"/>
      <c r="C35" s="91"/>
      <c r="D35" s="91"/>
      <c r="E35" s="91"/>
      <c r="F35" s="149"/>
      <c r="G35" s="85"/>
      <c r="H35" s="86"/>
    </row>
    <row r="36" spans="1:9" ht="19.5" customHeight="1">
      <c r="B36" s="629" t="s">
        <v>62</v>
      </c>
      <c r="C36" s="630"/>
      <c r="D36" s="630"/>
      <c r="E36" s="630"/>
      <c r="F36" s="630"/>
      <c r="G36" s="630"/>
      <c r="H36" s="126" t="str">
        <f>IF($G$2="","",ROUND(SUM(H32:H35),0))</f>
        <v/>
      </c>
    </row>
    <row r="37" spans="1:9" ht="15" customHeight="1">
      <c r="A37" s="570"/>
      <c r="B37" s="127"/>
      <c r="C37" s="128"/>
      <c r="D37" s="128"/>
      <c r="E37" s="128"/>
      <c r="F37" s="128"/>
      <c r="G37" s="129"/>
      <c r="H37" s="130"/>
    </row>
    <row r="38" spans="1:9" ht="19.5" customHeight="1">
      <c r="A38" s="571"/>
      <c r="B38" s="620" t="s">
        <v>63</v>
      </c>
      <c r="C38" s="621"/>
      <c r="D38" s="621"/>
      <c r="E38" s="621"/>
      <c r="F38" s="347" t="str">
        <f>IF($G$2="","",IF(acad=1,0,SUM(VLOOKUP($G$2,Data!$A$4:$F$82,5,FALSE))))</f>
        <v/>
      </c>
      <c r="G38" s="348" t="str">
        <f>IF($G$2="","",ROUND(VLOOKUP($G$2,MFG!$A$7:$AC$86,29,FALSE),2))</f>
        <v/>
      </c>
      <c r="H38" s="131" t="str">
        <f>IF($G$2="","",ROUND(F38*G38,0))</f>
        <v/>
      </c>
    </row>
    <row r="39" spans="1:9" ht="15" customHeight="1" thickBot="1">
      <c r="A39" s="572"/>
      <c r="B39" s="132"/>
      <c r="C39" s="133"/>
      <c r="D39" s="133"/>
      <c r="E39" s="133"/>
      <c r="F39" s="134"/>
      <c r="G39" s="135"/>
      <c r="H39" s="136"/>
    </row>
    <row r="40" spans="1:9" s="9" customFormat="1" ht="21" customHeight="1" thickBot="1">
      <c r="A40" s="573"/>
      <c r="B40" s="613" t="s">
        <v>64</v>
      </c>
      <c r="C40" s="614"/>
      <c r="D40" s="614"/>
      <c r="E40" s="614"/>
      <c r="F40" s="614"/>
      <c r="G40" s="614"/>
      <c r="H40" s="59" t="str">
        <f>IF($G$2="","",ROUND(SUM(H36:H38),0))</f>
        <v/>
      </c>
      <c r="I40" s="576"/>
    </row>
    <row r="41" spans="1:9" s="563" customFormat="1" ht="25.5" customHeight="1"/>
    <row r="42" spans="1:9" hidden="1">
      <c r="A42" s="574"/>
      <c r="B42" s="137"/>
      <c r="C42" s="137"/>
      <c r="D42" s="137"/>
      <c r="E42" s="137"/>
      <c r="F42" s="137"/>
      <c r="G42" s="137"/>
      <c r="H42" s="137"/>
      <c r="I42" s="574"/>
    </row>
  </sheetData>
  <sheetProtection algorithmName="SHA-512" hashValue="Ymzvb3QaHPbE4meEdQ1B2EcqwiGoPQytcRDvcB2jL6rK41UdVUttU8mBJnUGbz7ei8bImPv+JMy2Qtp6ZvT89w==" saltValue="DWuWi4hJwGYS9P8bi5Omfw==" spinCount="100000" sheet="1" objects="1" scenarios="1"/>
  <protectedRanges>
    <protectedRange sqref="G2" name="Range1"/>
  </protectedRanges>
  <mergeCells count="11">
    <mergeCell ref="B1:G1"/>
    <mergeCell ref="B40:G40"/>
    <mergeCell ref="B10:E10"/>
    <mergeCell ref="B4:H4"/>
    <mergeCell ref="B38:E38"/>
    <mergeCell ref="G2:H2"/>
    <mergeCell ref="B8:E8"/>
    <mergeCell ref="B6:H6"/>
    <mergeCell ref="B31:E31"/>
    <mergeCell ref="B36:G36"/>
    <mergeCell ref="B2:F2"/>
  </mergeCells>
  <pageMargins left="0.23622047244094491" right="0.23622047244094491" top="0.74803149606299213" bottom="0.74803149606299213"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17F8C-CCEA-4466-AE57-54BDFD00B167}">
  <sheetPr codeName="Sheet6">
    <tabColor rgb="FFFF0000"/>
    <pageSetUpPr fitToPage="1"/>
  </sheetPr>
  <dimension ref="A1:Q53"/>
  <sheetViews>
    <sheetView topLeftCell="A6" workbookViewId="0">
      <selection activeCell="D36" sqref="D36"/>
    </sheetView>
  </sheetViews>
  <sheetFormatPr defaultColWidth="0" defaultRowHeight="15" zeroHeight="1"/>
  <cols>
    <col min="1" max="1" width="24.85546875" style="120" customWidth="1"/>
    <col min="2" max="2" width="13.5703125" style="120" customWidth="1"/>
    <col min="3" max="3" width="9.140625" style="120" customWidth="1"/>
    <col min="4" max="4" width="12.42578125" style="120" customWidth="1"/>
    <col min="5" max="5" width="9.140625" style="120" customWidth="1"/>
    <col min="6" max="6" width="12" style="120" customWidth="1"/>
    <col min="7" max="7" width="9.140625" style="120" customWidth="1"/>
    <col min="8" max="16" width="9.140625" hidden="1" customWidth="1"/>
    <col min="17" max="17" width="12" hidden="1" customWidth="1"/>
    <col min="18" max="16384" width="9.140625" hidden="1"/>
  </cols>
  <sheetData>
    <row r="1" spans="1:6" s="120" customFormat="1">
      <c r="A1" s="118" t="s">
        <v>65</v>
      </c>
      <c r="B1" s="119"/>
      <c r="D1" s="119"/>
    </row>
    <row r="2" spans="1:6" s="120" customFormat="1">
      <c r="A2" s="118" t="s">
        <v>66</v>
      </c>
      <c r="B2" s="119"/>
      <c r="D2" s="119"/>
    </row>
    <row r="3" spans="1:6" s="120" customFormat="1" ht="15.75" thickBot="1">
      <c r="B3" s="119"/>
      <c r="D3" s="119"/>
    </row>
    <row r="4" spans="1:6" ht="15.75" thickBot="1">
      <c r="A4" s="120" t="s">
        <v>67</v>
      </c>
      <c r="B4" s="103"/>
      <c r="D4" s="119"/>
    </row>
    <row r="5" spans="1:6" ht="15.75" thickBot="1">
      <c r="A5" s="120" t="s">
        <v>68</v>
      </c>
      <c r="B5" s="634"/>
      <c r="C5" s="635"/>
      <c r="D5" s="635"/>
      <c r="E5" s="636"/>
    </row>
    <row r="6" spans="1:6" ht="15.75" thickBot="1">
      <c r="A6" s="120" t="s">
        <v>69</v>
      </c>
      <c r="B6" s="150"/>
      <c r="D6" s="119"/>
    </row>
    <row r="7" spans="1:6" s="120" customFormat="1" ht="14.25" customHeight="1"/>
    <row r="8" spans="1:6" s="120" customFormat="1">
      <c r="A8" s="254" t="s">
        <v>70</v>
      </c>
      <c r="B8" s="119" t="s">
        <v>71</v>
      </c>
      <c r="D8" s="119" t="s">
        <v>53</v>
      </c>
      <c r="F8" s="120" t="s">
        <v>72</v>
      </c>
    </row>
    <row r="9" spans="1:6" s="120" customFormat="1" ht="15.75" thickBot="1">
      <c r="B9" s="119"/>
      <c r="D9" s="119"/>
    </row>
    <row r="10" spans="1:6" ht="15.75" thickBot="1">
      <c r="A10" s="120" t="s">
        <v>73</v>
      </c>
      <c r="B10" s="104">
        <v>3.5</v>
      </c>
      <c r="D10" s="349">
        <f>Values!J17</f>
        <v>6000</v>
      </c>
      <c r="F10" s="350">
        <f>D10*B10</f>
        <v>21000</v>
      </c>
    </row>
    <row r="11" spans="1:6">
      <c r="B11" s="119"/>
      <c r="D11" s="119"/>
    </row>
    <row r="12" spans="1:6" ht="15.75" thickBot="1">
      <c r="B12" s="119"/>
      <c r="D12" s="119"/>
    </row>
    <row r="13" spans="1:6" ht="15.75" thickBot="1">
      <c r="A13" s="120" t="s">
        <v>74</v>
      </c>
      <c r="B13" s="104">
        <v>4</v>
      </c>
      <c r="D13" s="351">
        <v>12450</v>
      </c>
      <c r="F13" s="350">
        <f>D13*B13</f>
        <v>49800</v>
      </c>
    </row>
    <row r="14" spans="1:6" ht="15.75" thickBot="1">
      <c r="A14" s="120" t="s">
        <v>75</v>
      </c>
      <c r="B14" s="104">
        <v>0</v>
      </c>
      <c r="D14" s="351"/>
      <c r="F14" s="350">
        <f>D14*B14</f>
        <v>0</v>
      </c>
    </row>
    <row r="15" spans="1:6" ht="15.75" hidden="1" thickBot="1">
      <c r="A15" s="120" t="s">
        <v>76</v>
      </c>
      <c r="B15" s="104"/>
      <c r="D15" s="351"/>
      <c r="F15" s="350">
        <f>D15*B15</f>
        <v>0</v>
      </c>
    </row>
    <row r="16" spans="1:6" ht="15.75" thickBot="1">
      <c r="B16" s="119"/>
      <c r="F16" s="121"/>
    </row>
    <row r="17" spans="1:6" ht="15.75" thickBot="1">
      <c r="A17" s="120" t="s">
        <v>77</v>
      </c>
      <c r="B17" s="104">
        <v>0</v>
      </c>
      <c r="D17" s="351">
        <v>0</v>
      </c>
      <c r="F17" s="350">
        <f t="shared" ref="F17" si="0">D17*B17</f>
        <v>0</v>
      </c>
    </row>
    <row r="18" spans="1:6" ht="15.75" thickBot="1">
      <c r="A18" s="120" t="s">
        <v>78</v>
      </c>
      <c r="B18" s="104">
        <v>0</v>
      </c>
      <c r="D18" s="351"/>
      <c r="F18" s="350">
        <f>D18*B18</f>
        <v>0</v>
      </c>
    </row>
    <row r="19" spans="1:6">
      <c r="B19" s="119"/>
      <c r="D19" s="119"/>
      <c r="F19" s="121"/>
    </row>
    <row r="20" spans="1:6">
      <c r="A20" s="120" t="s">
        <v>79</v>
      </c>
      <c r="B20" s="352">
        <f>SUM(B13:B15)</f>
        <v>4</v>
      </c>
      <c r="D20" s="353">
        <v>0</v>
      </c>
      <c r="F20" s="350">
        <f>D20*B20</f>
        <v>0</v>
      </c>
    </row>
    <row r="21" spans="1:6">
      <c r="B21" s="119"/>
      <c r="D21" s="119"/>
    </row>
    <row r="22" spans="1:6" ht="15.75" thickBot="1">
      <c r="A22" s="120" t="s">
        <v>80</v>
      </c>
      <c r="B22" s="119"/>
      <c r="D22" s="119"/>
      <c r="F22" s="122">
        <f>SUM(F10:F21)</f>
        <v>70800</v>
      </c>
    </row>
    <row r="23" spans="1:6">
      <c r="B23" s="119"/>
      <c r="D23" s="119"/>
    </row>
    <row r="24" spans="1:6">
      <c r="A24" s="120" t="s">
        <v>81</v>
      </c>
      <c r="B24" s="119"/>
      <c r="D24" s="119"/>
    </row>
    <row r="25" spans="1:6">
      <c r="A25" s="120" t="s">
        <v>82</v>
      </c>
      <c r="B25" s="119"/>
      <c r="D25" s="119"/>
    </row>
    <row r="26" spans="1:6">
      <c r="B26" s="119"/>
      <c r="D26" s="119"/>
    </row>
    <row r="27" spans="1:6">
      <c r="A27" s="120" t="s">
        <v>83</v>
      </c>
      <c r="B27" s="119"/>
      <c r="D27" s="119"/>
      <c r="F27" s="354">
        <f>ROUND(F22*1,0)</f>
        <v>70800</v>
      </c>
    </row>
    <row r="28" spans="1:6">
      <c r="B28" s="119"/>
      <c r="D28" s="119"/>
    </row>
    <row r="29" spans="1:6">
      <c r="A29" s="254" t="s">
        <v>84</v>
      </c>
      <c r="B29" s="119"/>
      <c r="D29" s="119"/>
    </row>
    <row r="30" spans="1:6">
      <c r="B30" s="119"/>
      <c r="D30" s="119"/>
    </row>
    <row r="31" spans="1:6">
      <c r="A31" s="120" t="s">
        <v>85</v>
      </c>
      <c r="B31" s="119"/>
      <c r="D31" s="119"/>
    </row>
    <row r="32" spans="1:6">
      <c r="A32" s="120" t="s">
        <v>73</v>
      </c>
      <c r="B32" s="352">
        <f>B10</f>
        <v>3.5</v>
      </c>
      <c r="D32" s="349">
        <f>place</f>
        <v>6000</v>
      </c>
      <c r="F32" s="350">
        <f>D32*B32</f>
        <v>21000</v>
      </c>
    </row>
    <row r="33" spans="1:6">
      <c r="B33" s="119"/>
      <c r="D33" s="123"/>
      <c r="F33" s="121"/>
    </row>
    <row r="34" spans="1:6">
      <c r="B34" s="119"/>
      <c r="D34" s="124"/>
    </row>
    <row r="35" spans="1:6">
      <c r="A35" s="120" t="s">
        <v>74</v>
      </c>
      <c r="B35" s="352">
        <f>B13</f>
        <v>4</v>
      </c>
      <c r="D35" s="351">
        <v>12838</v>
      </c>
      <c r="F35" s="350">
        <f>D35*B35</f>
        <v>51352</v>
      </c>
    </row>
    <row r="36" spans="1:6">
      <c r="A36" s="120" t="s">
        <v>75</v>
      </c>
      <c r="B36" s="352">
        <f>B14</f>
        <v>0</v>
      </c>
      <c r="D36" s="351"/>
      <c r="F36" s="350">
        <f>D36*B36</f>
        <v>0</v>
      </c>
    </row>
    <row r="37" spans="1:6" hidden="1">
      <c r="A37" s="120" t="s">
        <v>76</v>
      </c>
      <c r="B37" s="352">
        <f>B15</f>
        <v>0</v>
      </c>
      <c r="D37" s="351"/>
      <c r="F37" s="350">
        <f>D37*B37</f>
        <v>0</v>
      </c>
    </row>
    <row r="38" spans="1:6">
      <c r="A38" s="120" t="s">
        <v>86</v>
      </c>
      <c r="B38" s="352">
        <f>B17+B18</f>
        <v>0</v>
      </c>
      <c r="D38" s="351"/>
      <c r="F38" s="350">
        <f t="shared" ref="F38" si="1">D38*B38</f>
        <v>0</v>
      </c>
    </row>
    <row r="39" spans="1:6">
      <c r="B39" s="119"/>
      <c r="D39" s="119"/>
      <c r="F39" s="121"/>
    </row>
    <row r="40" spans="1:6">
      <c r="B40" s="119"/>
      <c r="D40" s="119"/>
    </row>
    <row r="41" spans="1:6" ht="15.75" thickBot="1">
      <c r="A41" s="120" t="s">
        <v>87</v>
      </c>
      <c r="B41" s="119"/>
      <c r="D41" s="119"/>
      <c r="F41" s="122">
        <f>SUM(F32:F39)</f>
        <v>72352</v>
      </c>
    </row>
    <row r="42" spans="1:6">
      <c r="B42" s="119"/>
      <c r="D42" s="119"/>
    </row>
    <row r="43" spans="1:6">
      <c r="A43" s="120" t="s">
        <v>88</v>
      </c>
      <c r="B43" s="119"/>
      <c r="D43" s="119"/>
    </row>
    <row r="44" spans="1:6">
      <c r="B44" s="119"/>
      <c r="D44" s="119"/>
    </row>
    <row r="45" spans="1:6">
      <c r="A45" s="120" t="s">
        <v>79</v>
      </c>
      <c r="B45" s="355">
        <f>SUM(B35:B37)</f>
        <v>4</v>
      </c>
      <c r="D45" s="356">
        <f>MAX(0,ROUND((F27-F41)/B45,2))</f>
        <v>0</v>
      </c>
      <c r="F45" s="350">
        <f>D45*B45</f>
        <v>0</v>
      </c>
    </row>
    <row r="46" spans="1:6">
      <c r="B46" s="119"/>
      <c r="D46" s="119"/>
    </row>
    <row r="47" spans="1:6" ht="15.75" thickBot="1">
      <c r="A47" s="120" t="s">
        <v>89</v>
      </c>
      <c r="B47" s="119"/>
      <c r="D47" s="119"/>
      <c r="F47" s="122">
        <f>SUM(F41,F45)</f>
        <v>72352</v>
      </c>
    </row>
    <row r="48" spans="1:6">
      <c r="B48" s="119"/>
      <c r="D48" s="119"/>
    </row>
    <row r="49" spans="2:4">
      <c r="B49" s="119"/>
      <c r="D49" s="119"/>
    </row>
    <row r="50" spans="2:4"/>
    <row r="51" spans="2:4"/>
    <row r="52" spans="2:4"/>
    <row r="53" spans="2:4"/>
  </sheetData>
  <sheetProtection algorithmName="SHA-512" hashValue="0ctVZy4f4EG+NIJYkDZfCARySz9lswBe+zb+WeBJFw8JXQ1WAi7sPsOIdO8And5ntTzOuMFEI1oJa8Zo4KfjHQ==" saltValue="JY4EEb2KLKMR8vxTHlEISw==" spinCount="100000" sheet="1" selectLockedCells="1"/>
  <protectedRanges>
    <protectedRange sqref="B4 B5:E5 B6 B10 B13:B15 D13:D15 B17:B18 D17:D18 D20 D35:D38" name="Range1"/>
  </protectedRanges>
  <mergeCells count="1">
    <mergeCell ref="B5:E5"/>
  </mergeCells>
  <pageMargins left="0.70866141732283472" right="0.70866141732283472" top="0.74803149606299213" bottom="0.74803149606299213" header="0.31496062992125984" footer="0.31496062992125984"/>
  <pageSetup paperSize="9" scale="96" orientation="portrait" r:id="rId1"/>
  <rowBreaks count="1" manualBreakCount="1">
    <brk id="2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theme="6" tint="0.59999389629810485"/>
    <pageSetUpPr fitToPage="1"/>
  </sheetPr>
  <dimension ref="A1:Q49"/>
  <sheetViews>
    <sheetView workbookViewId="0">
      <selection activeCell="B9" sqref="B9"/>
    </sheetView>
  </sheetViews>
  <sheetFormatPr defaultColWidth="0" defaultRowHeight="15" zeroHeight="1"/>
  <cols>
    <col min="1" max="1" width="24.85546875" customWidth="1"/>
    <col min="2" max="2" width="13.5703125" customWidth="1"/>
    <col min="3" max="3" width="8.7109375" customWidth="1"/>
    <col min="4" max="4" width="12.42578125" customWidth="1"/>
    <col min="5" max="5" width="8.7109375" customWidth="1"/>
    <col min="6" max="6" width="12" customWidth="1"/>
    <col min="7" max="7" width="8.7109375" customWidth="1"/>
    <col min="8" max="15" width="8.7109375" hidden="1" customWidth="1"/>
    <col min="16" max="16" width="9.140625" hidden="1" customWidth="1"/>
    <col min="17" max="17" width="12" hidden="1" customWidth="1"/>
    <col min="18" max="16384" width="8.7109375" hidden="1"/>
  </cols>
  <sheetData>
    <row r="1" spans="1:7">
      <c r="A1" s="118" t="s">
        <v>65</v>
      </c>
      <c r="B1" s="265"/>
      <c r="C1" s="120"/>
      <c r="D1" s="265"/>
      <c r="E1" s="120"/>
      <c r="F1" s="120"/>
      <c r="G1" s="120"/>
    </row>
    <row r="2" spans="1:7">
      <c r="A2" s="118" t="s">
        <v>66</v>
      </c>
      <c r="B2" s="265"/>
      <c r="C2" s="120"/>
      <c r="D2" s="265"/>
      <c r="E2" s="120"/>
      <c r="F2" s="120"/>
      <c r="G2" s="120"/>
    </row>
    <row r="3" spans="1:7">
      <c r="A3" s="120"/>
      <c r="B3" s="265"/>
      <c r="C3" s="120"/>
      <c r="D3" s="265"/>
      <c r="E3" s="120"/>
      <c r="F3" s="120"/>
      <c r="G3" s="120"/>
    </row>
    <row r="4" spans="1:7">
      <c r="A4" s="120" t="s">
        <v>67</v>
      </c>
      <c r="B4" s="357">
        <f>'Resourced Provision'!G2</f>
        <v>0</v>
      </c>
      <c r="C4" s="120"/>
      <c r="D4" s="265"/>
      <c r="E4" s="120"/>
      <c r="F4" s="120"/>
      <c r="G4" s="120"/>
    </row>
    <row r="5" spans="1:7">
      <c r="A5" s="120" t="s">
        <v>68</v>
      </c>
      <c r="B5" s="637" t="e">
        <f>VLOOKUP($B$4,Data!$A$4:$B$81,2,FALSE)</f>
        <v>#N/A</v>
      </c>
      <c r="C5" s="638"/>
      <c r="D5" s="638"/>
      <c r="E5" s="639"/>
      <c r="F5" s="120"/>
      <c r="G5" s="120"/>
    </row>
    <row r="6" spans="1:7">
      <c r="A6" s="120" t="s">
        <v>69</v>
      </c>
      <c r="B6" s="358" t="e">
        <f>(VLOOKUP($B4,Data!$A$4:$I$81,9,FALSE))</f>
        <v>#N/A</v>
      </c>
      <c r="C6" s="120"/>
      <c r="D6" s="265"/>
      <c r="E6" s="120"/>
      <c r="F6" s="120"/>
      <c r="G6" s="120"/>
    </row>
    <row r="7" spans="1:7">
      <c r="A7" s="120"/>
      <c r="B7" s="268"/>
      <c r="C7" s="120"/>
      <c r="D7" s="265"/>
      <c r="E7" s="120"/>
      <c r="F7" s="120"/>
      <c r="G7" s="120"/>
    </row>
    <row r="8" spans="1:7" ht="14.25" customHeight="1">
      <c r="A8" s="254" t="s">
        <v>70</v>
      </c>
      <c r="B8" s="119" t="s">
        <v>71</v>
      </c>
      <c r="C8" s="120"/>
      <c r="D8" s="265" t="s">
        <v>53</v>
      </c>
      <c r="E8" s="120"/>
      <c r="F8" s="120" t="s">
        <v>72</v>
      </c>
      <c r="G8" s="120"/>
    </row>
    <row r="9" spans="1:7">
      <c r="A9" s="120"/>
      <c r="B9" s="265"/>
      <c r="C9" s="120"/>
      <c r="D9" s="265"/>
      <c r="E9" s="120"/>
      <c r="F9" s="120"/>
      <c r="G9" s="120"/>
    </row>
    <row r="10" spans="1:7">
      <c r="A10" s="120" t="s">
        <v>73</v>
      </c>
      <c r="B10" s="359">
        <f>SUMIF(APN!$A$2:$A$97,RIGHT(B4,4)*1,APN!$K$2:$K$97)</f>
        <v>0</v>
      </c>
      <c r="C10" s="120"/>
      <c r="D10" s="360">
        <f>Values!J17</f>
        <v>6000</v>
      </c>
      <c r="E10" s="120"/>
      <c r="F10" s="350">
        <f>D10*B10</f>
        <v>0</v>
      </c>
      <c r="G10" s="120"/>
    </row>
    <row r="11" spans="1:7">
      <c r="A11" s="120"/>
      <c r="B11" s="265"/>
      <c r="C11" s="120"/>
      <c r="D11" s="267" t="e">
        <f>VLOOKUP(RIGHT(B4,4)*1,'Autumn term 2025'!$AA$5:$AV$60,16,FALSE)</f>
        <v>#N/A</v>
      </c>
      <c r="E11" s="120"/>
      <c r="F11" s="120"/>
      <c r="G11" s="120"/>
    </row>
    <row r="12" spans="1:7">
      <c r="A12" s="120" t="s">
        <v>74</v>
      </c>
      <c r="B12" s="359" t="e">
        <f>VLOOKUP(RIGHT(B4,4)*1,'Autumn term 2025'!$AA$5:$AV$60,17,FALSE)</f>
        <v>#N/A</v>
      </c>
      <c r="C12" s="120"/>
      <c r="D12" s="360">
        <f>SUMIFS(Values!$J$4:$J$27,Values!$H$4:$H$27,D11,Values!$I$4:$I$27,$B$6)</f>
        <v>0</v>
      </c>
      <c r="E12" s="120"/>
      <c r="F12" s="350" t="e">
        <f>D12*B12</f>
        <v>#N/A</v>
      </c>
      <c r="G12" s="120"/>
    </row>
    <row r="13" spans="1:7">
      <c r="A13" s="120"/>
      <c r="B13" s="265"/>
      <c r="C13" s="120"/>
      <c r="D13" s="267" t="e">
        <f>VLOOKUP(RIGHT(B4,4)*1,'Autumn term 2025'!$AA$5:$AV$60,18,FALSE)</f>
        <v>#N/A</v>
      </c>
      <c r="E13" s="120"/>
      <c r="F13" s="120"/>
      <c r="G13" s="120"/>
    </row>
    <row r="14" spans="1:7">
      <c r="A14" s="120" t="s">
        <v>90</v>
      </c>
      <c r="B14" s="359" t="e">
        <f>VLOOKUP(RIGHT(B4,4)*1,'Autumn term 2025'!$AA$5:$AV$60,19,FALSE)</f>
        <v>#N/A</v>
      </c>
      <c r="C14" s="120"/>
      <c r="D14" s="360">
        <f>SUMIFS(Values!$J$4:$J$27,Values!$H$4:$H$27,D13,Values!$I$4:$I$27,$B$6)</f>
        <v>0</v>
      </c>
      <c r="E14" s="120"/>
      <c r="F14" s="350">
        <f>IFERROR(D14*B14,0)</f>
        <v>0</v>
      </c>
      <c r="G14" s="120"/>
    </row>
    <row r="15" spans="1:7" hidden="1">
      <c r="A15" s="120"/>
      <c r="B15" s="265"/>
      <c r="C15" s="120"/>
      <c r="D15" s="267" t="e">
        <f>VLOOKUP(RIGHT(B4,4)*1,'Autumn term 2025'!$AA$5:$AV$53,20,FALSE)</f>
        <v>#N/A</v>
      </c>
      <c r="E15" s="120"/>
      <c r="F15" s="120"/>
      <c r="G15" s="120"/>
    </row>
    <row r="16" spans="1:7" hidden="1">
      <c r="A16" s="120" t="s">
        <v>91</v>
      </c>
      <c r="B16" s="359" t="e">
        <f>VLOOKUP(RIGHT(B4,4)*1,'Autumn term 2025'!$AA$5:$AV$53,21,FALSE)</f>
        <v>#N/A</v>
      </c>
      <c r="C16" s="120"/>
      <c r="D16" s="360">
        <f>SUMIFS(Values!$J$4:$J$27,Values!$H$4:$H$27,D15,Values!$I$4:$I$27,$B$6)</f>
        <v>0</v>
      </c>
      <c r="E16" s="120"/>
      <c r="F16" s="350">
        <f>IFERROR(D16*B16,0)</f>
        <v>0</v>
      </c>
      <c r="G16" s="120"/>
    </row>
    <row r="17" spans="1:7">
      <c r="A17" s="120"/>
      <c r="B17" s="361"/>
      <c r="C17" s="120"/>
      <c r="D17" s="362"/>
      <c r="E17" s="120"/>
      <c r="F17" s="363"/>
      <c r="G17" s="120"/>
    </row>
    <row r="18" spans="1:7">
      <c r="A18" s="120" t="s">
        <v>77</v>
      </c>
      <c r="B18" s="359">
        <f>IFERROR(VLOOKUP(RIGHT(B4,4)*1,'Autumn term 2025'!$U$6:$X$14,2,FALSE),0)</f>
        <v>0</v>
      </c>
      <c r="C18" s="120"/>
      <c r="D18" s="360">
        <f>IF(B18=0,0,SUMIFS(Values!$J$4:$J$27,Values!$H$4:$H$27,A18,Values!$I$4:$I$27,$B$6))</f>
        <v>0</v>
      </c>
      <c r="E18" s="120"/>
      <c r="F18" s="350">
        <f t="shared" ref="F18" si="0">D18*B18</f>
        <v>0</v>
      </c>
      <c r="G18" s="120"/>
    </row>
    <row r="19" spans="1:7">
      <c r="A19" s="120" t="s">
        <v>92</v>
      </c>
      <c r="B19" s="359">
        <f>IFERROR(VLOOKUP(RIGHT(B4,4)*1,'Autumn term 2025'!$U$6:$X$14,3,FALSE),0)</f>
        <v>0</v>
      </c>
      <c r="C19" s="120"/>
      <c r="D19" s="360">
        <f>IF(B19=0,0,SUMIFS(Values!$J$4:$J$27,Values!$H$4:$H$27,A19,Values!$I$4:$I$27,$B$6))</f>
        <v>0</v>
      </c>
      <c r="E19" s="120"/>
      <c r="F19" s="350">
        <f>D19*B19</f>
        <v>0</v>
      </c>
      <c r="G19" s="120"/>
    </row>
    <row r="20" spans="1:7">
      <c r="A20" s="120"/>
      <c r="B20" s="265"/>
      <c r="C20" s="120"/>
      <c r="D20" s="265"/>
      <c r="E20" s="120"/>
      <c r="F20" s="121"/>
      <c r="G20" s="120"/>
    </row>
    <row r="21" spans="1:7">
      <c r="A21" s="120" t="s">
        <v>79</v>
      </c>
      <c r="B21" s="359" t="e">
        <f>B12+B14</f>
        <v>#N/A</v>
      </c>
      <c r="C21" s="120"/>
      <c r="D21" s="360" t="e">
        <f>(VLOOKUP(B4,MFG!$A$7:$AH$89,24,FALSE))</f>
        <v>#N/A</v>
      </c>
      <c r="E21" s="120"/>
      <c r="F21" s="350" t="e">
        <f>D21*B21</f>
        <v>#N/A</v>
      </c>
      <c r="G21" s="120"/>
    </row>
    <row r="22" spans="1:7">
      <c r="A22" s="120"/>
      <c r="B22" s="265"/>
      <c r="C22" s="120"/>
      <c r="D22" s="265"/>
      <c r="E22" s="120"/>
      <c r="F22" s="120"/>
      <c r="G22" s="120"/>
    </row>
    <row r="23" spans="1:7" ht="15.75" thickBot="1">
      <c r="A23" s="120" t="s">
        <v>80</v>
      </c>
      <c r="B23" s="265"/>
      <c r="C23" s="120"/>
      <c r="D23" s="265"/>
      <c r="E23" s="120"/>
      <c r="F23" s="122" t="e">
        <f>SUM(F10:F22)</f>
        <v>#N/A</v>
      </c>
      <c r="G23" s="120"/>
    </row>
    <row r="24" spans="1:7">
      <c r="A24" s="120"/>
      <c r="B24" s="265"/>
      <c r="C24" s="120"/>
      <c r="D24" s="265"/>
      <c r="E24" s="120"/>
      <c r="F24" s="120"/>
      <c r="G24" s="120"/>
    </row>
    <row r="25" spans="1:7">
      <c r="A25" s="120" t="s">
        <v>81</v>
      </c>
      <c r="B25" s="265"/>
      <c r="C25" s="120"/>
      <c r="D25" s="265"/>
      <c r="E25" s="120"/>
      <c r="F25" s="120"/>
      <c r="G25" s="120"/>
    </row>
    <row r="26" spans="1:7">
      <c r="A26" s="120" t="s">
        <v>82</v>
      </c>
      <c r="B26" s="265"/>
      <c r="C26" s="120"/>
      <c r="D26" s="265"/>
      <c r="E26" s="120"/>
      <c r="F26" s="120"/>
      <c r="G26" s="120"/>
    </row>
    <row r="27" spans="1:7">
      <c r="A27" s="120"/>
      <c r="B27" s="265"/>
      <c r="C27" s="120"/>
      <c r="D27" s="265"/>
      <c r="E27" s="120"/>
      <c r="F27" s="120"/>
      <c r="G27" s="120"/>
    </row>
    <row r="28" spans="1:7">
      <c r="A28" s="120" t="s">
        <v>83</v>
      </c>
      <c r="B28" s="265"/>
      <c r="C28" s="120"/>
      <c r="D28" s="265"/>
      <c r="E28" s="120"/>
      <c r="F28" s="354" t="e">
        <f>ROUND(F23*1,0)</f>
        <v>#N/A</v>
      </c>
      <c r="G28" s="120"/>
    </row>
    <row r="29" spans="1:7">
      <c r="A29" s="120"/>
      <c r="B29" s="265"/>
      <c r="C29" s="120"/>
      <c r="D29" s="265"/>
      <c r="E29" s="120"/>
      <c r="F29" s="120"/>
      <c r="G29" s="120"/>
    </row>
    <row r="30" spans="1:7">
      <c r="A30" s="254" t="s">
        <v>84</v>
      </c>
      <c r="B30" s="265"/>
      <c r="C30" s="120"/>
      <c r="D30" s="265"/>
      <c r="E30" s="120"/>
      <c r="F30" s="120"/>
      <c r="G30" s="120"/>
    </row>
    <row r="31" spans="1:7">
      <c r="A31" s="120" t="s">
        <v>85</v>
      </c>
      <c r="B31" s="265"/>
      <c r="C31" s="120"/>
      <c r="D31" s="265"/>
      <c r="E31" s="120"/>
      <c r="F31" s="120"/>
      <c r="G31" s="120"/>
    </row>
    <row r="32" spans="1:7">
      <c r="A32" s="120" t="s">
        <v>73</v>
      </c>
      <c r="B32" s="359">
        <f>+B10</f>
        <v>0</v>
      </c>
      <c r="C32" s="120"/>
      <c r="D32" s="360">
        <f>place</f>
        <v>6000</v>
      </c>
      <c r="E32" s="120"/>
      <c r="F32" s="350">
        <f>D32*B32</f>
        <v>0</v>
      </c>
      <c r="G32" s="120"/>
    </row>
    <row r="33" spans="1:7">
      <c r="A33" s="120"/>
      <c r="B33" s="266"/>
      <c r="C33" s="120"/>
      <c r="D33" s="267" t="e">
        <f>D11</f>
        <v>#N/A</v>
      </c>
      <c r="E33" s="120"/>
      <c r="F33" s="120"/>
      <c r="G33" s="120"/>
    </row>
    <row r="34" spans="1:7">
      <c r="A34" s="120" t="s">
        <v>74</v>
      </c>
      <c r="B34" s="359" t="e">
        <f>B12</f>
        <v>#N/A</v>
      </c>
      <c r="C34" s="120"/>
      <c r="D34" s="360">
        <f>SUMIFS(Values!$D$4:$D$27,Values!$B$4:$B$27,D11,Values!$C$4:$C$27,$B$6)</f>
        <v>0</v>
      </c>
      <c r="E34" s="120"/>
      <c r="F34" s="350" t="e">
        <f>D34*B34</f>
        <v>#N/A</v>
      </c>
      <c r="G34" s="120"/>
    </row>
    <row r="35" spans="1:7">
      <c r="A35" s="120"/>
      <c r="B35" s="361"/>
      <c r="C35" s="120"/>
      <c r="D35" s="364" t="e">
        <f>D13</f>
        <v>#N/A</v>
      </c>
      <c r="E35" s="120"/>
      <c r="F35" s="363"/>
      <c r="G35" s="120"/>
    </row>
    <row r="36" spans="1:7">
      <c r="A36" s="120" t="s">
        <v>90</v>
      </c>
      <c r="B36" s="359" t="e">
        <f>B14</f>
        <v>#N/A</v>
      </c>
      <c r="C36" s="120"/>
      <c r="D36" s="360">
        <f>SUMIFS(Values!$D$4:$D$27,Values!$B$4:$B$27,D13,Values!$C$4:$C$27,$B$6)</f>
        <v>0</v>
      </c>
      <c r="E36" s="120"/>
      <c r="F36" s="350">
        <f>IFERROR(D36*B36,0)</f>
        <v>0</v>
      </c>
      <c r="G36" s="120"/>
    </row>
    <row r="37" spans="1:7" hidden="1">
      <c r="A37" s="120"/>
      <c r="B37" s="361"/>
      <c r="C37" s="120"/>
      <c r="D37" s="364" t="e">
        <f>D15</f>
        <v>#N/A</v>
      </c>
      <c r="E37" s="120"/>
      <c r="F37" s="363"/>
      <c r="G37" s="120"/>
    </row>
    <row r="38" spans="1:7" hidden="1">
      <c r="A38" s="120" t="s">
        <v>91</v>
      </c>
      <c r="B38" s="359" t="e">
        <f>B16</f>
        <v>#N/A</v>
      </c>
      <c r="C38" s="120"/>
      <c r="D38" s="360">
        <f>SUMIFS(Values!$D$4:$D$27,Values!$B$4:$B$27,D15,Values!$C$4:$C$27,$B$6)</f>
        <v>0</v>
      </c>
      <c r="E38" s="120"/>
      <c r="F38" s="350">
        <f>IFERROR(D38*B38,0)</f>
        <v>0</v>
      </c>
      <c r="G38" s="120"/>
    </row>
    <row r="39" spans="1:7">
      <c r="A39" s="120"/>
      <c r="B39" s="361"/>
      <c r="C39" s="120"/>
      <c r="D39" s="362"/>
      <c r="E39" s="120"/>
      <c r="F39" s="363"/>
      <c r="G39" s="120"/>
    </row>
    <row r="40" spans="1:7">
      <c r="A40" s="120" t="str">
        <f>IF(B18&lt;&gt;0,"Signers",IF(B19&lt;&gt;0,"Tactile","Signers or Tactile?"))</f>
        <v>Signers or Tactile?</v>
      </c>
      <c r="B40" s="359">
        <f>IF(A40="Signers",B18,IF(A40="Tactile",B19,0))</f>
        <v>0</v>
      </c>
      <c r="C40" s="120"/>
      <c r="D40" s="360">
        <f>SUMIFS(Values!$D$4:$D$27,Values!$B$4:$B$27,A40,Values!$C$4:$C$27,$B$6)</f>
        <v>0</v>
      </c>
      <c r="E40" s="120"/>
      <c r="F40" s="350">
        <f t="shared" ref="F40" si="1">D40*B40</f>
        <v>0</v>
      </c>
      <c r="G40" s="120"/>
    </row>
    <row r="41" spans="1:7">
      <c r="A41" s="120"/>
      <c r="B41" s="265"/>
      <c r="C41" s="120"/>
      <c r="D41" s="265"/>
      <c r="E41" s="120"/>
      <c r="F41" s="121"/>
      <c r="G41" s="120"/>
    </row>
    <row r="42" spans="1:7" ht="15.75" thickBot="1">
      <c r="A42" s="120" t="s">
        <v>87</v>
      </c>
      <c r="B42" s="265"/>
      <c r="C42" s="120"/>
      <c r="D42" s="265"/>
      <c r="E42" s="120"/>
      <c r="F42" s="122" t="e">
        <f>SUM(F32:F41)</f>
        <v>#N/A</v>
      </c>
      <c r="G42" s="120"/>
    </row>
    <row r="43" spans="1:7">
      <c r="A43" s="120"/>
      <c r="B43" s="265"/>
      <c r="C43" s="120"/>
      <c r="D43" s="265"/>
      <c r="E43" s="120"/>
      <c r="F43" s="120"/>
      <c r="G43" s="120"/>
    </row>
    <row r="44" spans="1:7">
      <c r="A44" s="120" t="s">
        <v>88</v>
      </c>
      <c r="B44" s="265"/>
      <c r="C44" s="120"/>
      <c r="D44" s="265"/>
      <c r="E44" s="120"/>
      <c r="F44" s="120"/>
      <c r="G44" s="120"/>
    </row>
    <row r="45" spans="1:7">
      <c r="A45" s="120"/>
      <c r="B45" s="265"/>
      <c r="C45" s="120"/>
      <c r="D45" s="265"/>
      <c r="E45" s="120"/>
      <c r="F45" s="120"/>
      <c r="G45" s="120"/>
    </row>
    <row r="46" spans="1:7">
      <c r="A46" s="120" t="s">
        <v>79</v>
      </c>
      <c r="B46" s="359" t="e">
        <f>SUM(B34:B36)</f>
        <v>#N/A</v>
      </c>
      <c r="C46" s="120"/>
      <c r="D46" s="365" t="e">
        <f>IF(B46=0,0,MAX(0,ROUND((F28-F42)/B46,2)))</f>
        <v>#N/A</v>
      </c>
      <c r="E46" s="120"/>
      <c r="F46" s="350" t="e">
        <f>D46*B46</f>
        <v>#N/A</v>
      </c>
      <c r="G46" s="120"/>
    </row>
    <row r="47" spans="1:7">
      <c r="A47" s="120"/>
      <c r="B47" s="265"/>
      <c r="C47" s="120"/>
      <c r="D47" s="265"/>
      <c r="E47" s="120"/>
      <c r="F47" s="120"/>
      <c r="G47" s="120"/>
    </row>
    <row r="48" spans="1:7" ht="15.75" thickBot="1">
      <c r="A48" s="120" t="s">
        <v>89</v>
      </c>
      <c r="B48" s="265"/>
      <c r="C48" s="120"/>
      <c r="D48" s="265"/>
      <c r="E48" s="120"/>
      <c r="F48" s="122" t="e">
        <f>SUM(F42:F47)</f>
        <v>#N/A</v>
      </c>
      <c r="G48" s="120"/>
    </row>
    <row r="49" spans="1:7">
      <c r="A49" s="120"/>
      <c r="B49" s="265"/>
      <c r="C49" s="120"/>
      <c r="D49" s="265"/>
      <c r="E49" s="120"/>
      <c r="F49" s="120"/>
      <c r="G49" s="120"/>
    </row>
  </sheetData>
  <sheetProtection algorithmName="SHA-512" hashValue="6vtb0F3VMLGckwSi1T/UesEuf7IfZiW3idizDpStUf2acKxuOzk8MeycCyu2ehQnPVkIoLRVP9ezllM1yTKELg==" saltValue="zfPQoUOajlPy9zBGDzQs1A==" spinCount="100000" sheet="1" objects="1" scenarios="1"/>
  <mergeCells count="1">
    <mergeCell ref="B5:E5"/>
  </mergeCells>
  <pageMargins left="0.70866141732283472" right="0.70866141732283472" top="0.74803149606299213" bottom="0.74803149606299213" header="0.31496062992125984" footer="0.31496062992125984"/>
  <pageSetup paperSize="9" scale="98" orientation="portrait" r:id="rId1"/>
  <rowBreaks count="1" manualBreakCount="1">
    <brk id="2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'Print Macro'!$A$1:$A$47</xm:f>
          </x14:formula1>
          <xm:sqref>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39BA4-A151-4E30-B15E-783C2533BA4B}">
  <sheetPr codeName="Sheet4"/>
  <dimension ref="B2:L7"/>
  <sheetViews>
    <sheetView workbookViewId="0"/>
  </sheetViews>
  <sheetFormatPr defaultRowHeight="15"/>
  <cols>
    <col min="1" max="1" width="2.5703125" customWidth="1"/>
    <col min="2" max="11" width="10.5703125" customWidth="1"/>
  </cols>
  <sheetData>
    <row r="2" spans="2:12" ht="105">
      <c r="B2" s="366" t="s">
        <v>74</v>
      </c>
      <c r="C2" s="269" t="s">
        <v>69</v>
      </c>
      <c r="D2" s="269" t="s">
        <v>93</v>
      </c>
      <c r="E2" s="309" t="s">
        <v>94</v>
      </c>
      <c r="F2" s="269" t="s">
        <v>95</v>
      </c>
      <c r="G2" s="269" t="s">
        <v>96</v>
      </c>
      <c r="H2" s="367" t="s">
        <v>97</v>
      </c>
      <c r="I2" s="367" t="s">
        <v>98</v>
      </c>
      <c r="J2" s="367" t="s">
        <v>99</v>
      </c>
      <c r="K2" s="310" t="s">
        <v>100</v>
      </c>
    </row>
    <row r="3" spans="2:12" ht="30">
      <c r="B3" s="271"/>
      <c r="C3" s="307"/>
      <c r="D3" s="272" t="s">
        <v>101</v>
      </c>
      <c r="E3" s="272" t="s">
        <v>102</v>
      </c>
      <c r="F3" s="272" t="s">
        <v>103</v>
      </c>
      <c r="G3" s="272" t="s">
        <v>104</v>
      </c>
      <c r="H3" s="270" t="s">
        <v>105</v>
      </c>
      <c r="I3" s="270" t="s">
        <v>106</v>
      </c>
      <c r="J3" s="272" t="s">
        <v>107</v>
      </c>
      <c r="K3" s="278" t="s">
        <v>108</v>
      </c>
    </row>
    <row r="4" spans="2:12">
      <c r="B4" s="273" t="e">
        <f>VLOOKUP('Resourced Provision'!$G$2,Data!$A$4:$AD$81,10,FALSE)</f>
        <v>#N/A</v>
      </c>
      <c r="C4" s="8" t="e">
        <f>VLOOKUP('Resourced Provision'!$G$2,Data!$A$4:$AD$81,9,FALSE)</f>
        <v>#N/A</v>
      </c>
      <c r="D4" s="274">
        <f>SUMIFS(Values!$J$4:$J$27,Values!$H$4:$H$27,B4,Values!$I$4:$I$27,C4)</f>
        <v>0</v>
      </c>
      <c r="E4" s="314" cm="1">
        <f t="array" ref="E4">_xlfn.IFNA(INDEX(Data!$A$4:$AD$81,_xlfn.XMATCH('Resourced Provision'!$G$2,Data!$A$4:$A$81),_xlfn.XMATCH(B4,Data!$A$3:$AD$3)),0)</f>
        <v>0</v>
      </c>
      <c r="F4" s="274">
        <f>D4*E4</f>
        <v>0</v>
      </c>
      <c r="G4" s="318"/>
      <c r="H4" s="318"/>
      <c r="I4" s="318"/>
      <c r="J4" s="318"/>
      <c r="K4" s="319"/>
    </row>
    <row r="5" spans="2:12">
      <c r="B5" s="273" t="e">
        <f>IF(VLOOKUP('Resourced Provision'!$G$2,Data!$A$4:$AD$81,17,FALSE)="","",IF(VLOOKUP('Resourced Provision'!$G$2,Data!$A$4:$AD$81,17,FALSE)="HI","SIGNERS",IF(VLOOKUP('Resourced Provision'!$G$2,Data!$A$4:$AD$81,17,FALSE)="VI","TACTILE",VLOOKUP('Resourced Provision'!$G$2,Data!$A$4:$AD$81,17,FALSE))))</f>
        <v>#N/A</v>
      </c>
      <c r="C5" s="8" t="e">
        <f>IF(B5="","",C4)</f>
        <v>#N/A</v>
      </c>
      <c r="D5" s="274">
        <f>SUMIFS(Values!$J$4:$J$27,Values!$H$4:$H$27,B5,Values!$I$4:$I$27,C5)</f>
        <v>0</v>
      </c>
      <c r="E5" s="10" cm="1">
        <f t="array" ref="E5">_xlfn.IFNA(INDEX(Data!$A$4:$AD$81,_xlfn.XMATCH('Resourced Provision'!$G$2,Data!$A$4:$A$81),_xlfn.XMATCH(B5,Data!$A$3:$AD$3)),0)</f>
        <v>0</v>
      </c>
      <c r="F5" s="274">
        <f>D5*E5</f>
        <v>0</v>
      </c>
      <c r="G5" s="318"/>
      <c r="H5" s="318"/>
      <c r="I5" s="318"/>
      <c r="J5" s="318"/>
      <c r="K5" s="319"/>
    </row>
    <row r="6" spans="2:12">
      <c r="B6" s="275" t="e">
        <f>IF(VLOOKUP('Resourced Provision'!$G$2,Data!$A$4:$AD$81,24,FALSE)="","",VLOOKUP('Resourced Provision'!$G$2,Data!$A$4:$AD$81,24,FALSE))</f>
        <v>#N/A</v>
      </c>
      <c r="C6" s="308" t="e">
        <f>IF(B6="","",C5)</f>
        <v>#N/A</v>
      </c>
      <c r="D6" s="276">
        <f>SUMIFS(Values!$J$4:$J$27,Values!$H$4:$H$27,B6,Values!$I$4:$I$27,C6)</f>
        <v>0</v>
      </c>
      <c r="E6" s="277" cm="1">
        <f t="array" ref="E6">_xlfn.IFNA(INDEX(Data!$A$4:$AD$81,_xlfn.XMATCH('Resourced Provision'!$G$2,Data!$A$4:$A$81),_xlfn.XMATCH(B6,Data!$A$3:$AD$3)),0)</f>
        <v>0</v>
      </c>
      <c r="F6" s="276">
        <f>D6*E6</f>
        <v>0</v>
      </c>
      <c r="G6" s="318"/>
      <c r="H6" s="318"/>
      <c r="I6" s="318"/>
      <c r="J6" s="318"/>
      <c r="K6" s="319"/>
    </row>
    <row r="7" spans="2:12">
      <c r="B7" s="275" t="s">
        <v>109</v>
      </c>
      <c r="C7" s="316"/>
      <c r="D7" s="317"/>
      <c r="E7" s="277">
        <f>SUMIFS(E4:E6,B4:B6,"&lt;&gt;SIGNERS",B4:B6,"&lt;&gt;TACTILE")</f>
        <v>0</v>
      </c>
      <c r="F7" s="276">
        <f>SUM(F4:F6)</f>
        <v>0</v>
      </c>
      <c r="G7" s="311" t="e">
        <f>F7/E7</f>
        <v>#DIV/0!</v>
      </c>
      <c r="H7" s="312">
        <f>Values!J17</f>
        <v>6000</v>
      </c>
      <c r="I7" s="315" t="e">
        <f>VLOOKUP('Resourced Provision'!$G$2,Data!$A$4:$E$81,5,FALSE)</f>
        <v>#N/A</v>
      </c>
      <c r="J7" s="311" t="e">
        <f>(G7+H7)*I7</f>
        <v>#DIV/0!</v>
      </c>
      <c r="K7" s="313" t="e">
        <f>ROUNDUP(J7*0.034,0)</f>
        <v>#DIV/0!</v>
      </c>
      <c r="L7" s="420" t="e">
        <f>K7/I7</f>
        <v>#DIV/0!</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AP98"/>
  <sheetViews>
    <sheetView zoomScale="70" zoomScaleNormal="70" workbookViewId="0">
      <pane xSplit="8" ySplit="4" topLeftCell="I8" activePane="bottomRight" state="frozen"/>
      <selection activeCell="E53" sqref="E53"/>
      <selection pane="topRight" activeCell="E53" sqref="E53"/>
      <selection pane="bottomLeft" activeCell="E53" sqref="E53"/>
      <selection pane="bottomRight" activeCell="E53" sqref="E53"/>
    </sheetView>
  </sheetViews>
  <sheetFormatPr defaultColWidth="9.140625" defaultRowHeight="14.25"/>
  <cols>
    <col min="1" max="1" width="10.140625" style="24" customWidth="1"/>
    <col min="2" max="2" width="29" style="24" customWidth="1"/>
    <col min="3" max="3" width="12.42578125" style="24" bestFit="1" customWidth="1"/>
    <col min="4" max="5" width="12" style="24" customWidth="1"/>
    <col min="6" max="7" width="14.140625" style="24" customWidth="1"/>
    <col min="8" max="8" width="19.42578125" style="24" bestFit="1" customWidth="1"/>
    <col min="9" max="11" width="17.42578125" style="24" customWidth="1"/>
    <col min="12" max="12" width="16.5703125" style="24" customWidth="1"/>
    <col min="13" max="13" width="13.42578125" style="24" customWidth="1"/>
    <col min="14" max="14" width="17.42578125" style="24" bestFit="1" customWidth="1"/>
    <col min="15" max="15" width="13.42578125" style="24" bestFit="1" customWidth="1"/>
    <col min="16" max="16" width="18.5703125" style="24" customWidth="1"/>
    <col min="17" max="17" width="15.42578125" style="24" customWidth="1"/>
    <col min="18" max="18" width="18.85546875" style="24" customWidth="1"/>
    <col min="19" max="19" width="3.42578125" style="24" customWidth="1"/>
    <col min="20" max="20" width="17.42578125" style="24" customWidth="1"/>
    <col min="21" max="21" width="17.140625" style="24" customWidth="1"/>
    <col min="22" max="22" width="14" style="24" bestFit="1" customWidth="1"/>
    <col min="23" max="23" width="18.140625" style="24" customWidth="1"/>
    <col min="24" max="24" width="18.140625" style="24" bestFit="1" customWidth="1"/>
    <col min="25" max="25" width="16.5703125" style="24" customWidth="1"/>
    <col min="26" max="28" width="9.140625" style="24"/>
    <col min="29" max="30" width="0" style="24" hidden="1" customWidth="1"/>
    <col min="31" max="32" width="11.5703125" style="24" hidden="1" customWidth="1"/>
    <col min="33" max="33" width="11.42578125" style="24" hidden="1" customWidth="1"/>
    <col min="34" max="34" width="9.42578125" style="24" hidden="1" customWidth="1"/>
    <col min="35" max="37" width="10.5703125" style="24" hidden="1" customWidth="1"/>
    <col min="38" max="38" width="12.5703125" style="24" hidden="1" customWidth="1"/>
    <col min="39" max="39" width="10.42578125" style="24" hidden="1" customWidth="1"/>
    <col min="40" max="40" width="13.5703125" style="24" hidden="1" customWidth="1"/>
    <col min="41" max="41" width="10.42578125" style="24" hidden="1" customWidth="1"/>
    <col min="42" max="16384" width="9.140625" style="24"/>
  </cols>
  <sheetData>
    <row r="1" spans="1:42">
      <c r="A1" s="102"/>
      <c r="B1" s="102"/>
      <c r="C1" s="102"/>
      <c r="D1" s="102"/>
      <c r="E1" s="280">
        <f>SUM(E5:E82)</f>
        <v>790.83333333333348</v>
      </c>
      <c r="F1" s="102"/>
      <c r="G1" s="102"/>
      <c r="H1" s="102"/>
      <c r="I1" s="151">
        <f>SUM(I5:I82)</f>
        <v>4745000</v>
      </c>
      <c r="J1" s="151">
        <f>SUM(J5:J82)</f>
        <v>576693.33333333326</v>
      </c>
      <c r="K1" s="280">
        <f>SUM(K5:K82)</f>
        <v>432562.50094807765</v>
      </c>
      <c r="L1" s="151">
        <f>SUM(L5:L82)</f>
        <v>4637810.166666667</v>
      </c>
      <c r="M1" s="151">
        <f>SUM(M5:M82)</f>
        <v>2118487.3466666667</v>
      </c>
      <c r="N1" s="151"/>
      <c r="O1" s="151">
        <f>SUM(O5:O82)</f>
        <v>6845649.5133333346</v>
      </c>
      <c r="P1" s="151"/>
      <c r="Q1" s="151">
        <f>SUM(Q5:Q82)</f>
        <v>21270</v>
      </c>
      <c r="R1" s="151">
        <f>SUM(R5:R82)</f>
        <v>6866919.5133333346</v>
      </c>
      <c r="S1" s="102"/>
      <c r="T1" s="102"/>
      <c r="U1" s="102"/>
      <c r="V1" s="102"/>
      <c r="W1" s="102"/>
      <c r="X1" s="102"/>
      <c r="Y1" s="602">
        <f>SUM(Y5:Y82)</f>
        <v>330462.51999999984</v>
      </c>
      <c r="Z1" s="102"/>
      <c r="AA1" s="102"/>
      <c r="AB1" s="102"/>
      <c r="AC1" s="102"/>
      <c r="AD1" s="102"/>
      <c r="AE1" s="102"/>
      <c r="AF1" s="102"/>
      <c r="AG1" s="102"/>
      <c r="AH1" s="102"/>
      <c r="AI1" s="102"/>
      <c r="AJ1" s="102"/>
      <c r="AK1" s="102"/>
      <c r="AL1" s="102"/>
      <c r="AM1" s="102"/>
      <c r="AN1" s="102"/>
      <c r="AO1" s="102"/>
      <c r="AP1" s="102"/>
    </row>
    <row r="2" spans="1:42" s="25" customFormat="1"/>
    <row r="3" spans="1:42" s="25" customFormat="1" ht="7.5" customHeight="1" thickBot="1">
      <c r="I3" s="26"/>
      <c r="J3" s="26"/>
      <c r="K3" s="26"/>
      <c r="L3" s="26"/>
      <c r="M3" s="26"/>
      <c r="N3" s="26"/>
      <c r="O3" s="26"/>
      <c r="P3" s="26"/>
      <c r="Q3" s="26"/>
      <c r="R3" s="26"/>
    </row>
    <row r="4" spans="1:42" s="32" customFormat="1" ht="75.75" thickBot="1">
      <c r="A4" s="30" t="s">
        <v>110</v>
      </c>
      <c r="B4" s="141" t="s">
        <v>111</v>
      </c>
      <c r="C4" s="33" t="s">
        <v>112</v>
      </c>
      <c r="D4" s="33" t="s">
        <v>69</v>
      </c>
      <c r="E4" s="33" t="s">
        <v>113</v>
      </c>
      <c r="F4" s="33" t="s">
        <v>114</v>
      </c>
      <c r="G4" s="33" t="s">
        <v>90</v>
      </c>
      <c r="H4" s="293" t="s">
        <v>91</v>
      </c>
      <c r="I4" s="431" t="s">
        <v>115</v>
      </c>
      <c r="J4" s="561" t="s">
        <v>116</v>
      </c>
      <c r="K4" s="430" t="s">
        <v>117</v>
      </c>
      <c r="L4" s="48" t="s">
        <v>118</v>
      </c>
      <c r="M4" s="49" t="s">
        <v>119</v>
      </c>
      <c r="N4" s="49" t="s">
        <v>76</v>
      </c>
      <c r="O4" s="52" t="s">
        <v>120</v>
      </c>
      <c r="P4" s="50" t="s">
        <v>121</v>
      </c>
      <c r="Q4" s="47" t="s">
        <v>79</v>
      </c>
      <c r="R4" s="31" t="s">
        <v>122</v>
      </c>
      <c r="T4" s="423" t="s">
        <v>123</v>
      </c>
      <c r="U4" s="424" t="s">
        <v>124</v>
      </c>
      <c r="V4" s="425" t="s">
        <v>125</v>
      </c>
      <c r="W4" s="425" t="s">
        <v>126</v>
      </c>
      <c r="X4" s="426" t="s">
        <v>127</v>
      </c>
      <c r="Y4" s="32" t="s">
        <v>128</v>
      </c>
      <c r="AA4" s="32" t="s">
        <v>129</v>
      </c>
      <c r="AC4" s="32" t="s">
        <v>130</v>
      </c>
      <c r="AD4" s="32" t="s">
        <v>131</v>
      </c>
      <c r="AE4" s="32" t="s">
        <v>115</v>
      </c>
      <c r="AF4" s="32" t="s">
        <v>132</v>
      </c>
      <c r="AG4" s="32" t="s">
        <v>133</v>
      </c>
      <c r="AH4" s="32" t="s">
        <v>79</v>
      </c>
      <c r="AI4" s="32" t="s">
        <v>134</v>
      </c>
      <c r="AJ4" s="32" t="s">
        <v>135</v>
      </c>
      <c r="AK4" s="32" t="s">
        <v>136</v>
      </c>
      <c r="AL4" s="32" t="s">
        <v>137</v>
      </c>
      <c r="AM4" s="32" t="s">
        <v>138</v>
      </c>
      <c r="AN4" s="32" t="s">
        <v>139</v>
      </c>
      <c r="AO4" s="32" t="s">
        <v>140</v>
      </c>
    </row>
    <row r="5" spans="1:42" s="27" customFormat="1">
      <c r="A5" s="152">
        <v>8502005</v>
      </c>
      <c r="B5" s="153" t="s">
        <v>0</v>
      </c>
      <c r="C5" s="153" t="str">
        <f>VLOOKUP(RIGHT(A5,4)*1,APN!A:C,3,FALSE)</f>
        <v>Maintained</v>
      </c>
      <c r="D5" s="153" t="str">
        <f>VLOOKUP(A5,Data!$A$3:$I$81,9,FALSE)</f>
        <v>PRI</v>
      </c>
      <c r="E5" s="154">
        <f>VLOOKUP(A5,Data!A:E,5,FALSE)</f>
        <v>31.999999999999996</v>
      </c>
      <c r="F5" s="153" t="str">
        <f>VLOOKUP(A5,Data!$A$3:$J$81,10,FALSE)</f>
        <v>SLD</v>
      </c>
      <c r="G5" s="153" t="s">
        <v>141</v>
      </c>
      <c r="H5" s="294" t="s">
        <v>142</v>
      </c>
      <c r="I5" s="603">
        <f>VLOOKUP(A5,Data!A:E,5,FALSE)*place</f>
        <v>191999.99999999997</v>
      </c>
      <c r="J5" s="562">
        <f>IFERROR(VLOOKUP(A5,'NOR Special Units'!$B:$AF,31,FALSE)*Values!$D$28,0)</f>
        <v>0</v>
      </c>
      <c r="K5" s="606">
        <f>VLOOKUP(A5,Data!A:E,5,FALSE)*legacy</f>
        <v>17503.055886623999</v>
      </c>
      <c r="L5" s="427" cm="1">
        <f t="array" ref="L5">INDEX(Values!$D$1:$D$985,MATCH(1,(Values!$B$1:$B$985=F5)*(Values!$C$1:$C$985=D5),0))*VLOOKUP(A5,Data!$A$1:$F$1029,6,FALSE)</f>
        <v>0</v>
      </c>
      <c r="M5" s="157">
        <f>(VLOOKUP(A5,Data!$A$3:$X$81,18,FALSE)*IF(D5="Pri",TACT_PRI,TACT_SEC))+(VLOOKUP(A5,Data!$A$3:$X$81,19,FALSE)*IF(D5="Pri",SIGN_PRI,SIGN_SEC))+(VLOOKUP(A5,Data!$A$3:$X$81,20,FALSE)*IF(D5="Pri",NA_PRI,NA_SEC))+(VLOOKUP(A5,Data!$A$3:$X$81,21,FALSE)*IF(D5="Pri",asd_pri,asd_sec))+(VLOOKUP(A5,Data!$A$3:$X$81,22,FALSE)*IF(D5="Pri",MLD_PRI,MLD_SEC)+VLOOKUP(A5,Data!$A$3:$X$81,23,FALSE)*IF(D5="Pri",SEMH_PRI,SEMH_SEC))+(VLOOKUP(A5,Data!$A$3:$X$81,24,FALSE)*IF(D5="Pri",SLCN_PRI,SLCN_SEC))</f>
        <v>166620</v>
      </c>
      <c r="N5" s="157">
        <f>(VLOOKUP(A5,Data!$A$3:$AD$81,26,FALSE)*IF(D5="Pri",NA_PRI,NA_SEC))+(VLOOKUP(A5,Data!$A$3:$AD$81,27,FALSE)*IF(D5="Pri",asd_pri,asd_sec))+(VLOOKUP(A5,Data!$A$3:$AD$81,28,FALSE)*IF(D5="Pri",MLD_PRI,MLD_SEC)+VLOOKUP(A5,Data!$A$3:$AD$81,29,FALSE)*IF(D5="Pri",SEMH_PRI,SEMH_SEC))+(VLOOKUP(A5,Data!$A$3:$AD$81,30,FALSE)*IF(D5="Pri",SLCN_PRI,SLCN_SEC))</f>
        <v>89351.999999999985</v>
      </c>
      <c r="O5" s="158">
        <f>L5+M5+N5</f>
        <v>255972</v>
      </c>
      <c r="P5" s="159">
        <f t="shared" ref="P5:P36" si="0">IF(I5=0,0,O5/E5)</f>
        <v>7999.1250000000009</v>
      </c>
      <c r="Q5" s="160">
        <f>VLOOKUP($A5,MFG!$A$7:$AC$85,29,FALSE)*VLOOKUP($A5,Data!$A$4:$E$81,5,FALSE)</f>
        <v>0</v>
      </c>
      <c r="R5" s="161">
        <f>O5+Q5</f>
        <v>255972</v>
      </c>
      <c r="S5" s="162"/>
      <c r="T5" s="255">
        <f>_xlfn.IFNA(VLOOKUP(A5,'2025-26 Budget Share'!$A$5:$W$62,17,FALSE),0)</f>
        <v>63816</v>
      </c>
      <c r="U5" s="305">
        <f t="shared" ref="U5:U82" si="1">R5-T5</f>
        <v>192156</v>
      </c>
      <c r="V5" s="305">
        <f t="shared" ref="V5:V36" si="2">IF(I5=0,0,R5/E5)</f>
        <v>7999.1250000000009</v>
      </c>
      <c r="W5" s="305">
        <f>_xlfn.IFNA(VLOOKUP(A5,'2025-26 Budget Share'!$A$5:$W$62,21,FALSE),0)</f>
        <v>2659</v>
      </c>
      <c r="X5" s="256">
        <f>V5-W5</f>
        <v>5340.1250000000009</v>
      </c>
      <c r="Y5" s="446">
        <f>_xlfn.XLOOKUP(A5,Data!$D$87:$D$164,Data!$F$87:$F$164)*'Budget Shares'!E5</f>
        <v>14083.989999999998</v>
      </c>
      <c r="Z5" s="163"/>
      <c r="AA5" s="163">
        <f t="shared" ref="AA5:AA36" si="3">IFERROR(ROUND(Q5/(I5/6000),0),0)</f>
        <v>0</v>
      </c>
      <c r="AB5" s="163"/>
      <c r="AC5" s="163"/>
      <c r="AD5" s="163"/>
      <c r="AE5" s="163"/>
      <c r="AF5" s="163"/>
      <c r="AG5" s="163"/>
      <c r="AH5" s="163"/>
      <c r="AI5" s="163"/>
      <c r="AJ5" s="163"/>
      <c r="AK5" s="163"/>
      <c r="AL5" s="163"/>
      <c r="AM5" s="163"/>
      <c r="AN5" s="163"/>
      <c r="AO5" s="163"/>
      <c r="AP5" s="102"/>
    </row>
    <row r="6" spans="1:42">
      <c r="A6" s="164">
        <v>8502011</v>
      </c>
      <c r="B6" s="303" t="s">
        <v>1</v>
      </c>
      <c r="C6" s="147" t="str">
        <f>VLOOKUP(RIGHT(A6,4)*1,APN!A:C,3,FALSE)</f>
        <v>Maintained</v>
      </c>
      <c r="D6" s="147" t="str">
        <f>VLOOKUP(A6,Data!$A$3:$I$81,9,FALSE)</f>
        <v>PRI</v>
      </c>
      <c r="E6" s="165">
        <f>VLOOKUP(A6,Data!A:E,5,FALSE)</f>
        <v>6</v>
      </c>
      <c r="F6" s="147" t="str">
        <f>VLOOKUP(A6,Data!$A$3:$J$81,10,FALSE)</f>
        <v>VI</v>
      </c>
      <c r="G6" s="147"/>
      <c r="H6" s="295"/>
      <c r="I6" s="604">
        <f>VLOOKUP(A6,Data!A:E,5,FALSE)*place</f>
        <v>36000</v>
      </c>
      <c r="J6" s="611">
        <f>IFERROR(VLOOKUP(A6,'NOR Special Units'!$B:$AF,31,FALSE)*Values!$D$28,0)</f>
        <v>8000</v>
      </c>
      <c r="K6" s="607">
        <f>VLOOKUP(A6,Data!A:E,5,FALSE)*legacy</f>
        <v>3281.8229787420005</v>
      </c>
      <c r="L6" s="428" cm="1">
        <f t="array" ref="L6">INDEX(Values!$D$1:$D$985,MATCH(1,(Values!$B$1:$B$985=F6)*(Values!$C$1:$C$985=D6),0))*VLOOKUP(A6,Data!$A$1:$F$1029,6,FALSE)</f>
        <v>82590</v>
      </c>
      <c r="M6" s="157">
        <f>(VLOOKUP(A6,Data!$A$3:$X$81,18,FALSE)*IF(D6="Pri",TACT_PRI,TACT_SEC))+(VLOOKUP(A6,Data!$A$3:$X$81,19,FALSE)*IF(D6="Pri",SIGN_PRI,SIGN_SEC))+(VLOOKUP(A6,Data!$A$3:$X$81,20,FALSE)*IF(D6="Pri",NA_PRI,NA_SEC))+(VLOOKUP(A6,Data!$A$3:$X$81,21,FALSE)*IF(D6="Pri",asd_pri,asd_sec))+(VLOOKUP(A6,Data!$A$3:$X$81,22,FALSE)*IF(D6="Pri",MLD_PRI,MLD_SEC)+VLOOKUP(A6,Data!$A$3:$X$81,23,FALSE)*IF(D6="Pri",SEMH_PRI,SEMH_SEC))+(VLOOKUP(A6,Data!$A$3:$X$81,24,FALSE)*IF(D6="Pri",SLCN_PRI,SLCN_SEC))</f>
        <v>0</v>
      </c>
      <c r="N6" s="157">
        <f>(VLOOKUP(A6,Data!$A$3:$AD$81,26,FALSE)*IF(D6="Pri",NA_PRI,NA_SEC))+(VLOOKUP(A6,Data!$A$3:$AD$81,27,FALSE)*IF(D6="Pri",asd_pri,asd_sec))+(VLOOKUP(A6,Data!$A$3:$AD$81,28,FALSE)*IF(D6="Pri",MLD_PRI,MLD_SEC)+VLOOKUP(A6,Data!$A$3:$AD$81,29,FALSE)*IF(D6="Pri",SEMH_PRI,SEMH_SEC))+(VLOOKUP(A6,Data!$A$3:$AD$81,30,FALSE)*IF(D6="Pri",SLCN_PRI,SLCN_SEC))</f>
        <v>0</v>
      </c>
      <c r="O6" s="304">
        <f t="shared" ref="O6:O82" si="4">L6+M6+N6</f>
        <v>82590</v>
      </c>
      <c r="P6" s="159">
        <f t="shared" si="0"/>
        <v>13765</v>
      </c>
      <c r="Q6" s="160">
        <f>VLOOKUP($A6,MFG!$A$7:$AC$85,29,FALSE)*VLOOKUP($A6,Data!$A$4:$E$81,5,FALSE)</f>
        <v>0</v>
      </c>
      <c r="R6" s="167">
        <f t="shared" ref="R6:R82" si="5">O6+Q6</f>
        <v>82590</v>
      </c>
      <c r="S6" s="162"/>
      <c r="T6" s="255">
        <f>_xlfn.IFNA(VLOOKUP(A6,'2025-26 Budget Share'!$A$5:$W$62,17,FALSE),0)</f>
        <v>80148</v>
      </c>
      <c r="U6" s="305">
        <f t="shared" si="1"/>
        <v>2442</v>
      </c>
      <c r="V6" s="305">
        <f t="shared" si="2"/>
        <v>13765</v>
      </c>
      <c r="W6" s="305">
        <f>_xlfn.IFNA(VLOOKUP(A6,'2025-26 Budget Share'!$A$5:$W$62,21,FALSE),0)</f>
        <v>13358</v>
      </c>
      <c r="X6" s="256">
        <f t="shared" ref="X6:X82" si="6">V6-W6</f>
        <v>407</v>
      </c>
      <c r="Y6" s="446">
        <f>_xlfn.XLOOKUP(A6,Data!$D$87:$D$164,Data!$F$87:$F$164)*'Budget Shares'!E6</f>
        <v>3728.34</v>
      </c>
      <c r="Z6" s="163"/>
      <c r="AA6" s="163">
        <f t="shared" si="3"/>
        <v>0</v>
      </c>
      <c r="AB6" s="163"/>
      <c r="AC6" s="102"/>
      <c r="AD6" s="102"/>
      <c r="AE6" s="102"/>
      <c r="AF6" s="102"/>
      <c r="AG6" s="102"/>
      <c r="AH6" s="102"/>
      <c r="AI6" s="102"/>
      <c r="AJ6" s="102"/>
      <c r="AK6" s="102"/>
      <c r="AL6" s="102"/>
      <c r="AM6" s="102"/>
      <c r="AN6" s="102"/>
      <c r="AO6" s="102"/>
      <c r="AP6" s="102"/>
    </row>
    <row r="7" spans="1:42">
      <c r="A7" s="164">
        <v>8502013</v>
      </c>
      <c r="B7" s="306" t="s">
        <v>2</v>
      </c>
      <c r="C7" s="147" t="str">
        <f>VLOOKUP(RIGHT(A7,4)*1,APN!A:C,3,FALSE)</f>
        <v>Maintained</v>
      </c>
      <c r="D7" s="147" t="str">
        <f>VLOOKUP(A7,Data!$A$3:$I$81,9,FALSE)</f>
        <v>PRI</v>
      </c>
      <c r="E7" s="165">
        <f>VLOOKUP(A7,Data!A:E,5,FALSE)</f>
        <v>28.000000000000004</v>
      </c>
      <c r="F7" s="147" t="str">
        <f>VLOOKUP(A7,Data!$A$3:$J$81,10,FALSE)</f>
        <v>SLCN</v>
      </c>
      <c r="G7" s="147" t="s">
        <v>143</v>
      </c>
      <c r="H7" s="295"/>
      <c r="I7" s="604">
        <f>VLOOKUP(A7,Data!A:E,5,FALSE)*place</f>
        <v>168000.00000000003</v>
      </c>
      <c r="J7" s="611">
        <f>IFERROR(VLOOKUP(A7,'NOR Special Units'!$B:$AF,31,FALSE)*Values!$D$28,0)</f>
        <v>12000</v>
      </c>
      <c r="K7" s="607">
        <f>VLOOKUP(A7,Data!A:E,5,FALSE)*legacy</f>
        <v>15315.173900796004</v>
      </c>
      <c r="L7" s="428" cm="1">
        <f t="array" ref="L7">INDEX(Values!$D$1:$D$985,MATCH(1,(Values!$B$1:$B$985=F7)*(Values!$C$1:$C$985=D7),0))*VLOOKUP(A7,Data!$A$1:$F$1029,6,FALSE)</f>
        <v>84096</v>
      </c>
      <c r="M7" s="157">
        <f>(VLOOKUP(A7,Data!$A$3:$X$81,18,FALSE)*IF(D7="Pri",TACT_PRI,TACT_SEC))+(VLOOKUP(A7,Data!$A$3:$X$81,19,FALSE)*IF(D7="Pri",SIGN_PRI,SIGN_SEC))+(VLOOKUP(A7,Data!$A$3:$X$81,20,FALSE)*IF(D7="Pri",NA_PRI,NA_SEC))+(VLOOKUP(A7,Data!$A$3:$X$81,21,FALSE)*IF(D7="Pri",asd_pri,asd_sec))+(VLOOKUP(A7,Data!$A$3:$X$81,22,FALSE)*IF(D7="Pri",MLD_PRI,MLD_SEC)+VLOOKUP(A7,Data!$A$3:$X$81,23,FALSE)*IF(D7="Pri",SEMH_PRI,SEMH_SEC))+(VLOOKUP(A7,Data!$A$3:$X$81,24,FALSE)*IF(D7="Pri",SLCN_PRI,SLCN_SEC))</f>
        <v>18408.000000000004</v>
      </c>
      <c r="N7" s="157">
        <f>(VLOOKUP(A7,Data!$A$3:$AD$81,26,FALSE)*IF(D7="Pri",NA_PRI,NA_SEC))+(VLOOKUP(A7,Data!$A$3:$AD$81,27,FALSE)*IF(D7="Pri",asd_pri,asd_sec))+(VLOOKUP(A7,Data!$A$3:$AD$81,28,FALSE)*IF(D7="Pri",MLD_PRI,MLD_SEC)+VLOOKUP(A7,Data!$A$3:$AD$81,29,FALSE)*IF(D7="Pri",SEMH_PRI,SEMH_SEC))+(VLOOKUP(A7,Data!$A$3:$AD$81,30,FALSE)*IF(D7="Pri",SLCN_PRI,SLCN_SEC))</f>
        <v>0</v>
      </c>
      <c r="O7" s="304">
        <f t="shared" si="4"/>
        <v>102504</v>
      </c>
      <c r="P7" s="159">
        <f t="shared" si="0"/>
        <v>3660.8571428571422</v>
      </c>
      <c r="Q7" s="160">
        <f>VLOOKUP($A7,MFG!$A$7:$AC$85,29,FALSE)*VLOOKUP($A7,Data!$A$4:$E$81,5,FALSE)</f>
        <v>0</v>
      </c>
      <c r="R7" s="167">
        <f t="shared" si="5"/>
        <v>102504</v>
      </c>
      <c r="S7" s="162"/>
      <c r="T7" s="255">
        <f>_xlfn.IFNA(VLOOKUP(A7,'2025-26 Budget Share'!$A$5:$W$62,17,FALSE),0)</f>
        <v>96932</v>
      </c>
      <c r="U7" s="305">
        <f t="shared" si="1"/>
        <v>5572</v>
      </c>
      <c r="V7" s="305">
        <f t="shared" si="2"/>
        <v>3660.8571428571422</v>
      </c>
      <c r="W7" s="305">
        <f>_xlfn.IFNA(VLOOKUP(A7,'2025-26 Budget Share'!$A$5:$W$62,21,FALSE),0)</f>
        <v>3461.8571428571422</v>
      </c>
      <c r="X7" s="256">
        <f t="shared" si="6"/>
        <v>199</v>
      </c>
      <c r="Y7" s="446">
        <f>_xlfn.XLOOKUP(A7,Data!$D$87:$D$164,Data!$F$87:$F$164)*'Budget Shares'!E7</f>
        <v>9440.48</v>
      </c>
      <c r="Z7" s="163"/>
      <c r="AA7" s="163">
        <f t="shared" si="3"/>
        <v>0</v>
      </c>
      <c r="AB7" s="163"/>
      <c r="AC7" s="102"/>
      <c r="AD7" s="102"/>
      <c r="AE7" s="102"/>
      <c r="AF7" s="102"/>
      <c r="AG7" s="102"/>
      <c r="AH7" s="102"/>
      <c r="AI7" s="102"/>
      <c r="AJ7" s="102"/>
      <c r="AK7" s="102"/>
      <c r="AL7" s="102"/>
      <c r="AM7" s="102"/>
      <c r="AN7" s="102"/>
      <c r="AO7" s="102"/>
      <c r="AP7" s="102"/>
    </row>
    <row r="8" spans="1:42">
      <c r="A8" s="164">
        <v>8502018</v>
      </c>
      <c r="B8" s="306" t="s">
        <v>3</v>
      </c>
      <c r="C8" s="147" t="str">
        <f>VLOOKUP(RIGHT(A8,4)*1,APN!A:C,3,FALSE)</f>
        <v>Maintained</v>
      </c>
      <c r="D8" s="147" t="str">
        <f>VLOOKUP(A8,Data!$A$3:$I$81,9,FALSE)</f>
        <v>PRI</v>
      </c>
      <c r="E8" s="165">
        <f>VLOOKUP(A8,Data!A:E,5,FALSE)</f>
        <v>14.000000000000002</v>
      </c>
      <c r="F8" s="147" t="str">
        <f>VLOOKUP(A8,Data!$A$3:$J$81,10,FALSE)</f>
        <v>SLCN</v>
      </c>
      <c r="G8" s="147"/>
      <c r="H8" s="295"/>
      <c r="I8" s="604">
        <f>VLOOKUP(A8,Data!A:E,5,FALSE)*place</f>
        <v>84000.000000000015</v>
      </c>
      <c r="J8" s="611">
        <f>IFERROR(VLOOKUP(A8,'NOR Special Units'!$B:$AF,31,FALSE)*Values!$D$28,0)</f>
        <v>0</v>
      </c>
      <c r="K8" s="607">
        <f>VLOOKUP(A8,Data!A:E,5,FALSE)*legacy</f>
        <v>7657.586950398002</v>
      </c>
      <c r="L8" s="428" cm="1">
        <f t="array" ref="L8">INDEX(Values!$D$1:$D$985,MATCH(1,(Values!$B$1:$B$985=F8)*(Values!$C$1:$C$985=D8),0))*VLOOKUP(A8,Data!$A$1:$F$1029,6,FALSE)</f>
        <v>73584</v>
      </c>
      <c r="M8" s="157">
        <f>(VLOOKUP(A8,Data!$A$3:$X$81,18,FALSE)*IF(D8="Pri",TACT_PRI,TACT_SEC))+(VLOOKUP(A8,Data!$A$3:$X$81,19,FALSE)*IF(D8="Pri",SIGN_PRI,SIGN_SEC))+(VLOOKUP(A8,Data!$A$3:$X$81,20,FALSE)*IF(D8="Pri",NA_PRI,NA_SEC))+(VLOOKUP(A8,Data!$A$3:$X$81,21,FALSE)*IF(D8="Pri",asd_pri,asd_sec))+(VLOOKUP(A8,Data!$A$3:$X$81,22,FALSE)*IF(D8="Pri",MLD_PRI,MLD_SEC)+VLOOKUP(A8,Data!$A$3:$X$81,23,FALSE)*IF(D8="Pri",SEMH_PRI,SEMH_SEC))+(VLOOKUP(A8,Data!$A$3:$X$81,24,FALSE)*IF(D8="Pri",SLCN_PRI,SLCN_SEC))</f>
        <v>0</v>
      </c>
      <c r="N8" s="157">
        <f>(VLOOKUP(A8,Data!$A$3:$AD$81,26,FALSE)*IF(D8="Pri",NA_PRI,NA_SEC))+(VLOOKUP(A8,Data!$A$3:$AD$81,27,FALSE)*IF(D8="Pri",asd_pri,asd_sec))+(VLOOKUP(A8,Data!$A$3:$AD$81,28,FALSE)*IF(D8="Pri",MLD_PRI,MLD_SEC)+VLOOKUP(A8,Data!$A$3:$AD$81,29,FALSE)*IF(D8="Pri",SEMH_PRI,SEMH_SEC))+(VLOOKUP(A8,Data!$A$3:$AD$81,30,FALSE)*IF(D8="Pri",SLCN_PRI,SLCN_SEC))</f>
        <v>0</v>
      </c>
      <c r="O8" s="304">
        <f t="shared" si="4"/>
        <v>73584</v>
      </c>
      <c r="P8" s="159">
        <f t="shared" si="0"/>
        <v>5255.9999999999991</v>
      </c>
      <c r="Q8" s="160">
        <f>VLOOKUP($A8,MFG!$A$7:$AC$85,29,FALSE)*VLOOKUP($A8,Data!$A$4:$E$81,5,FALSE)</f>
        <v>0</v>
      </c>
      <c r="R8" s="167">
        <f t="shared" si="5"/>
        <v>73584</v>
      </c>
      <c r="S8" s="162"/>
      <c r="T8" s="255">
        <f>_xlfn.IFNA(VLOOKUP(A8,'2025-26 Budget Share'!$A$5:$W$62,17,FALSE),0)</f>
        <v>70336</v>
      </c>
      <c r="U8" s="305">
        <f t="shared" si="1"/>
        <v>3248</v>
      </c>
      <c r="V8" s="305">
        <f t="shared" si="2"/>
        <v>5255.9999999999991</v>
      </c>
      <c r="W8" s="305">
        <f>_xlfn.IFNA(VLOOKUP(A8,'2025-26 Budget Share'!$A$5:$W$62,21,FALSE),0)</f>
        <v>5023.9999999999991</v>
      </c>
      <c r="X8" s="256">
        <f t="shared" si="6"/>
        <v>232</v>
      </c>
      <c r="Y8" s="446">
        <f>_xlfn.XLOOKUP(A8,Data!$D$87:$D$164,Data!$F$87:$F$164)*'Budget Shares'!E8</f>
        <v>4954.3200000000006</v>
      </c>
      <c r="Z8" s="163"/>
      <c r="AA8" s="163">
        <f t="shared" si="3"/>
        <v>0</v>
      </c>
      <c r="AB8" s="163"/>
      <c r="AC8" s="102"/>
      <c r="AD8" s="102"/>
      <c r="AE8" s="102"/>
      <c r="AF8" s="102"/>
      <c r="AG8" s="102"/>
      <c r="AH8" s="102"/>
      <c r="AI8" s="102"/>
      <c r="AJ8" s="102"/>
      <c r="AK8" s="102"/>
      <c r="AL8" s="102"/>
      <c r="AM8" s="102"/>
      <c r="AN8" s="102"/>
      <c r="AO8" s="102"/>
      <c r="AP8" s="102"/>
    </row>
    <row r="9" spans="1:42">
      <c r="A9" s="164">
        <v>8502045</v>
      </c>
      <c r="B9" s="306" t="s">
        <v>144</v>
      </c>
      <c r="C9" s="147" t="str">
        <f>VLOOKUP(RIGHT(A9,4)*1,APN!A:C,3,FALSE)</f>
        <v>Academy</v>
      </c>
      <c r="D9" s="147" t="str">
        <f>VLOOKUP(A9,Data!$A$3:$I$81,9,FALSE)</f>
        <v>PRI</v>
      </c>
      <c r="E9" s="165">
        <f>VLOOKUP(A9,Data!A:E,5,FALSE)</f>
        <v>7.75</v>
      </c>
      <c r="F9" s="147" t="str">
        <f>VLOOKUP(A9,Data!$A$3:$J$81,10,FALSE)</f>
        <v>SEMH</v>
      </c>
      <c r="G9" s="147"/>
      <c r="H9" s="295"/>
      <c r="I9" s="604">
        <f>VLOOKUP(A9,Data!A:E,5,FALSE)*place</f>
        <v>46500</v>
      </c>
      <c r="J9" s="611">
        <f>IFERROR(VLOOKUP(A9,'NOR Special Units'!$B:$AF,31,FALSE)*Values!$D$28,0)</f>
        <v>20000</v>
      </c>
      <c r="K9" s="607">
        <f>VLOOKUP(A9,Data!A:E,5,FALSE)*legacy</f>
        <v>4239.0213475417504</v>
      </c>
      <c r="L9" s="428" cm="1">
        <f t="array" ref="L9">INDEX(Values!$D$1:$D$985,MATCH(1,(Values!$B$1:$B$985=F9)*(Values!$C$1:$C$985=D9),0))*VLOOKUP(A9,Data!$A$1:$F$1029,6,FALSE)</f>
        <v>99494.5</v>
      </c>
      <c r="M9" s="157">
        <f>(VLOOKUP(A9,Data!$A$3:$X$81,18,FALSE)*IF(D9="Pri",TACT_PRI,TACT_SEC))+(VLOOKUP(A9,Data!$A$3:$X$81,19,FALSE)*IF(D9="Pri",SIGN_PRI,SIGN_SEC))+(VLOOKUP(A9,Data!$A$3:$X$81,20,FALSE)*IF(D9="Pri",NA_PRI,NA_SEC))+(VLOOKUP(A9,Data!$A$3:$X$81,21,FALSE)*IF(D9="Pri",asd_pri,asd_sec))+(VLOOKUP(A9,Data!$A$3:$X$81,22,FALSE)*IF(D9="Pri",MLD_PRI,MLD_SEC)+VLOOKUP(A9,Data!$A$3:$X$81,23,FALSE)*IF(D9="Pri",SEMH_PRI,SEMH_SEC))+(VLOOKUP(A9,Data!$A$3:$X$81,24,FALSE)*IF(D9="Pri",SLCN_PRI,SLCN_SEC))</f>
        <v>0</v>
      </c>
      <c r="N9" s="157">
        <f>(VLOOKUP(A9,Data!$A$3:$AD$81,26,FALSE)*IF(D9="Pri",NA_PRI,NA_SEC))+(VLOOKUP(A9,Data!$A$3:$AD$81,27,FALSE)*IF(D9="Pri",asd_pri,asd_sec))+(VLOOKUP(A9,Data!$A$3:$AD$81,28,FALSE)*IF(D9="Pri",MLD_PRI,MLD_SEC)+VLOOKUP(A9,Data!$A$3:$AD$81,29,FALSE)*IF(D9="Pri",SEMH_PRI,SEMH_SEC))+(VLOOKUP(A9,Data!$A$3:$AD$81,30,FALSE)*IF(D9="Pri",SLCN_PRI,SLCN_SEC))</f>
        <v>0</v>
      </c>
      <c r="O9" s="304">
        <f t="shared" ref="O9" si="7">L9+M9+N9</f>
        <v>99494.5</v>
      </c>
      <c r="P9" s="159">
        <f t="shared" si="0"/>
        <v>12838</v>
      </c>
      <c r="Q9" s="160">
        <f>VLOOKUP($A9,MFG!$A$7:$AC$85,29,FALSE)*VLOOKUP($A9,Data!$A$4:$E$81,5,FALSE)</f>
        <v>0</v>
      </c>
      <c r="R9" s="167">
        <f t="shared" ref="R9" si="8">O9+Q9</f>
        <v>99494.5</v>
      </c>
      <c r="S9" s="162"/>
      <c r="T9" s="255">
        <f>_xlfn.IFNA(VLOOKUP(A9,'2025-26 Budget Share'!$A$5:$W$62,17,FALSE),0)</f>
        <v>43575</v>
      </c>
      <c r="U9" s="305">
        <f t="shared" ref="U9" si="9">R9-T9</f>
        <v>55919.5</v>
      </c>
      <c r="V9" s="305">
        <f t="shared" si="2"/>
        <v>12838</v>
      </c>
      <c r="W9" s="305">
        <f>_xlfn.IFNA(VLOOKUP(A9,'2025-26 Budget Share'!$A$5:$W$62,21,FALSE),0)</f>
        <v>12450</v>
      </c>
      <c r="X9" s="256">
        <f t="shared" ref="X9" si="10">V9-W9</f>
        <v>388</v>
      </c>
      <c r="Y9" s="446">
        <f>_xlfn.XLOOKUP(A9,Data!$D$87:$D$164,Data!$F$87:$F$164)*'Budget Shares'!E9</f>
        <v>2770.7</v>
      </c>
      <c r="Z9" s="163"/>
      <c r="AA9" s="163">
        <f t="shared" si="3"/>
        <v>0</v>
      </c>
      <c r="AB9" s="163"/>
      <c r="AC9" s="102"/>
      <c r="AD9" s="102"/>
      <c r="AE9" s="102"/>
      <c r="AF9" s="102"/>
      <c r="AG9" s="102"/>
      <c r="AH9" s="102"/>
      <c r="AI9" s="102"/>
      <c r="AJ9" s="102"/>
      <c r="AK9" s="102"/>
      <c r="AL9" s="102"/>
      <c r="AM9" s="102"/>
      <c r="AN9" s="102"/>
      <c r="AO9" s="102"/>
      <c r="AP9" s="102"/>
    </row>
    <row r="10" spans="1:42">
      <c r="A10" s="164">
        <v>8502049</v>
      </c>
      <c r="B10" s="549" t="s">
        <v>145</v>
      </c>
      <c r="C10" s="147" t="str">
        <f>VLOOKUP(RIGHT(A10,4)*1,APN!A:C,3,FALSE)</f>
        <v>Maintained</v>
      </c>
      <c r="D10" s="147" t="str">
        <f>VLOOKUP(A10,Data!$A$3:$I$81,9,FALSE)</f>
        <v>PRI</v>
      </c>
      <c r="E10" s="165">
        <f>VLOOKUP(A10,Data!A:E,5,FALSE)</f>
        <v>0</v>
      </c>
      <c r="F10" s="147" t="str">
        <f>VLOOKUP(A10,Data!$A$3:$J$81,10,FALSE)</f>
        <v>ASC</v>
      </c>
      <c r="G10" s="147"/>
      <c r="H10" s="295"/>
      <c r="I10" s="604">
        <f>VLOOKUP(A10,Data!A:E,5,FALSE)*place</f>
        <v>0</v>
      </c>
      <c r="J10" s="609">
        <f>IFERROR(VLOOKUP(A10,'NOR Special Units'!$B:$AF,31,FALSE)*Values!$D$28,0)</f>
        <v>0</v>
      </c>
      <c r="K10" s="607">
        <f>VLOOKUP(A10,Data!A:E,5,FALSE)*legacy</f>
        <v>0</v>
      </c>
      <c r="L10" s="428" cm="1">
        <f t="array" ref="L10">INDEX(Values!$D$1:$D$985,MATCH(1,(Values!$B$1:$B$985=F10)*(Values!$C$1:$C$985=D10),0))*VLOOKUP(A10,Data!$A$1:$F$1029,6,FALSE)</f>
        <v>0</v>
      </c>
      <c r="M10" s="157">
        <f>(VLOOKUP(A10,Data!$A$3:$X$81,18,FALSE)*IF(D10="Pri",TACT_PRI,TACT_SEC))+(VLOOKUP(A10,Data!$A$3:$X$81,19,FALSE)*IF(D10="Pri",SIGN_PRI,SIGN_SEC))+(VLOOKUP(A10,Data!$A$3:$X$81,20,FALSE)*IF(D10="Pri",NA_PRI,NA_SEC))+(VLOOKUP(A10,Data!$A$3:$X$81,21,FALSE)*IF(D10="Pri",asd_pri,asd_sec))+(VLOOKUP(A10,Data!$A$3:$X$81,22,FALSE)*IF(D10="Pri",MLD_PRI,MLD_SEC)+VLOOKUP(A10,Data!$A$3:$X$81,23,FALSE)*IF(D10="Pri",SEMH_PRI,SEMH_SEC))+(VLOOKUP(A10,Data!$A$3:$X$81,24,FALSE)*IF(D10="Pri",SLCN_PRI,SLCN_SEC))</f>
        <v>0</v>
      </c>
      <c r="N10" s="157">
        <f>(VLOOKUP(A10,Data!$A$3:$AD$81,26,FALSE)*IF(D10="Pri",NA_PRI,NA_SEC))+(VLOOKUP(A10,Data!$A$3:$AD$81,27,FALSE)*IF(D10="Pri",asd_pri,asd_sec))+(VLOOKUP(A10,Data!$A$3:$AD$81,28,FALSE)*IF(D10="Pri",MLD_PRI,MLD_SEC)+VLOOKUP(A10,Data!$A$3:$AD$81,29,FALSE)*IF(D10="Pri",SEMH_PRI,SEMH_SEC))+(VLOOKUP(A10,Data!$A$3:$AD$81,30,FALSE)*IF(D10="Pri",SLCN_PRI,SLCN_SEC))</f>
        <v>0</v>
      </c>
      <c r="O10" s="304">
        <f t="shared" ref="O10" si="11">L10+M10+N10</f>
        <v>0</v>
      </c>
      <c r="P10" s="159">
        <f t="shared" si="0"/>
        <v>0</v>
      </c>
      <c r="Q10" s="160">
        <f>VLOOKUP($A10,MFG!$A$7:$AC$85,29,FALSE)*VLOOKUP($A10,Data!$A$4:$E$81,5,FALSE)</f>
        <v>0</v>
      </c>
      <c r="R10" s="167">
        <f t="shared" ref="R10" si="12">O10+Q10</f>
        <v>0</v>
      </c>
      <c r="S10" s="162"/>
      <c r="T10" s="255">
        <f>_xlfn.IFNA(VLOOKUP(A10,'2025-26 Budget Share'!$A$5:$W$62,17,FALSE),0)</f>
        <v>0</v>
      </c>
      <c r="U10" s="305">
        <f t="shared" ref="U10" si="13">R10-T10</f>
        <v>0</v>
      </c>
      <c r="V10" s="305">
        <f t="shared" si="2"/>
        <v>0</v>
      </c>
      <c r="W10" s="305">
        <f>_xlfn.IFNA(VLOOKUP(A10,'2025-26 Budget Share'!$A$5:$W$62,21,FALSE),0)</f>
        <v>0</v>
      </c>
      <c r="X10" s="256">
        <f t="shared" ref="X10" si="14">V10-W10</f>
        <v>0</v>
      </c>
      <c r="Y10" s="446">
        <f>_xlfn.XLOOKUP(A10,Data!$D$87:$D$164,Data!$F$87:$F$164)*'Budget Shares'!E10</f>
        <v>0</v>
      </c>
      <c r="Z10" s="163"/>
      <c r="AA10" s="163">
        <f t="shared" si="3"/>
        <v>0</v>
      </c>
      <c r="AB10" s="163"/>
      <c r="AC10" s="102"/>
      <c r="AD10" s="102"/>
      <c r="AE10" s="102"/>
      <c r="AF10" s="102"/>
      <c r="AG10" s="102"/>
      <c r="AH10" s="102"/>
      <c r="AI10" s="102"/>
      <c r="AJ10" s="102"/>
      <c r="AK10" s="102"/>
      <c r="AL10" s="102"/>
      <c r="AM10" s="102"/>
      <c r="AN10" s="102"/>
      <c r="AO10" s="102"/>
      <c r="AP10" s="102"/>
    </row>
    <row r="11" spans="1:42">
      <c r="A11" s="164">
        <v>8502057</v>
      </c>
      <c r="B11" s="306" t="s">
        <v>146</v>
      </c>
      <c r="C11" s="147" t="str">
        <f>VLOOKUP(RIGHT(A11,4)*1,APN!A:C,3,FALSE)</f>
        <v>Maintained</v>
      </c>
      <c r="D11" s="147" t="str">
        <f>VLOOKUP(A11,Data!$A$3:$I$81,9,FALSE)</f>
        <v>PRI</v>
      </c>
      <c r="E11" s="165">
        <f>VLOOKUP(A11,Data!A:E,5,FALSE)</f>
        <v>24</v>
      </c>
      <c r="F11" s="147" t="str">
        <f>VLOOKUP(A11,Data!$A$3:$J$81,10,FALSE)</f>
        <v>SEMH</v>
      </c>
      <c r="G11" s="147" t="s">
        <v>141</v>
      </c>
      <c r="H11" s="295"/>
      <c r="I11" s="604">
        <f>VLOOKUP(A11,Data!A:E,5,FALSE)*place</f>
        <v>144000</v>
      </c>
      <c r="J11" s="609">
        <f>IFERROR(VLOOKUP(A11,'NOR Special Units'!$B:$AF,31,FALSE)*Values!$D$28,0)</f>
        <v>0</v>
      </c>
      <c r="K11" s="607">
        <f>VLOOKUP(A11,Data!A:E,5,FALSE)*legacy</f>
        <v>13127.291914968002</v>
      </c>
      <c r="L11" s="428" cm="1">
        <f t="array" ref="L11">INDEX(Values!$D$1:$D$985,MATCH(1,(Values!$B$1:$B$985=F11)*(Values!$C$1:$C$985=D11),0))*VLOOKUP(A11,Data!$A$1:$F$1029,6,FALSE)</f>
        <v>102704</v>
      </c>
      <c r="M11" s="157">
        <f>(VLOOKUP(A11,Data!$A$3:$X$81,18,FALSE)*IF(D11="Pri",TACT_PRI,TACT_SEC))+(VLOOKUP(A11,Data!$A$3:$X$81,19,FALSE)*IF(D11="Pri",SIGN_PRI,SIGN_SEC))+(VLOOKUP(A11,Data!$A$3:$X$81,20,FALSE)*IF(D11="Pri",NA_PRI,NA_SEC))+(VLOOKUP(A11,Data!$A$3:$X$81,21,FALSE)*IF(D11="Pri",asd_pri,asd_sec))+(VLOOKUP(A11,Data!$A$3:$X$81,22,FALSE)*IF(D11="Pri",MLD_PRI,MLD_SEC)+VLOOKUP(A11,Data!$A$3:$X$81,23,FALSE)*IF(D11="Pri",SEMH_PRI,SEMH_SEC))+(VLOOKUP(A11,Data!$A$3:$X$81,24,FALSE)*IF(D11="Pri",SLCN_PRI,SLCN_SEC))</f>
        <v>177728</v>
      </c>
      <c r="N11" s="157">
        <f>(VLOOKUP(A11,Data!$A$3:$AD$81,26,FALSE)*IF(D11="Pri",NA_PRI,NA_SEC))+(VLOOKUP(A11,Data!$A$3:$AD$81,27,FALSE)*IF(D11="Pri",asd_pri,asd_sec))+(VLOOKUP(A11,Data!$A$3:$AD$81,28,FALSE)*IF(D11="Pri",MLD_PRI,MLD_SEC)+VLOOKUP(A11,Data!$A$3:$AD$81,29,FALSE)*IF(D11="Pri",SEMH_PRI,SEMH_SEC))+(VLOOKUP(A11,Data!$A$3:$AD$81,30,FALSE)*IF(D11="Pri",SLCN_PRI,SLCN_SEC))</f>
        <v>0</v>
      </c>
      <c r="O11" s="304">
        <f t="shared" si="4"/>
        <v>280432</v>
      </c>
      <c r="P11" s="159">
        <f t="shared" si="0"/>
        <v>11684.666666666666</v>
      </c>
      <c r="Q11" s="160">
        <f>VLOOKUP($A11,MFG!$A$7:$AC$85,29,FALSE)*VLOOKUP($A11,Data!$A$4:$E$81,5,FALSE)</f>
        <v>0</v>
      </c>
      <c r="R11" s="167">
        <f t="shared" si="5"/>
        <v>280432</v>
      </c>
      <c r="S11" s="162"/>
      <c r="T11" s="255">
        <f>_xlfn.IFNA(VLOOKUP(A11,'2025-26 Budget Share'!$A$5:$W$62,17,FALSE),0)</f>
        <v>190129.66666666663</v>
      </c>
      <c r="U11" s="305">
        <f t="shared" si="1"/>
        <v>90302.333333333372</v>
      </c>
      <c r="V11" s="305">
        <f t="shared" si="2"/>
        <v>11684.666666666666</v>
      </c>
      <c r="W11" s="305">
        <f>_xlfn.IFNA(VLOOKUP(A11,'2025-26 Budget Share'!$A$5:$W$62,21,FALSE),0)</f>
        <v>11581.502538071065</v>
      </c>
      <c r="X11" s="256">
        <f t="shared" si="6"/>
        <v>103.16412859560114</v>
      </c>
      <c r="Y11" s="446">
        <f>_xlfn.XLOOKUP(A11,Data!$D$87:$D$164,Data!$F$87:$F$164)*'Budget Shares'!E11</f>
        <v>10994.16</v>
      </c>
      <c r="Z11" s="163"/>
      <c r="AA11" s="163">
        <f t="shared" si="3"/>
        <v>0</v>
      </c>
      <c r="AB11" s="163"/>
      <c r="AC11" s="102" t="s">
        <v>147</v>
      </c>
      <c r="AD11" s="102">
        <f>SUMIFS(APN!L:L,APN!A:A,RIGHT(A11,4)*1,APN!H:H,"SEMH")</f>
        <v>8</v>
      </c>
      <c r="AE11" s="151">
        <f>AD11*6000</f>
        <v>48000</v>
      </c>
      <c r="AF11" s="151">
        <f>AD11*4000</f>
        <v>32000</v>
      </c>
      <c r="AG11" s="151">
        <f>IF(D11="PRI",SEMH_PRI,IF(D11="SEC",SEMH_SEC,0))*AD11</f>
        <v>102704</v>
      </c>
      <c r="AH11" s="151">
        <f>_xlfn.XLOOKUP(A11,MFG!A:A,MFG!AC:AC)*AD11</f>
        <v>0</v>
      </c>
      <c r="AI11" s="151" t="e">
        <f>_xlfn.XLOOKUP(A11,Data!A:A,Data!#REF!)/_xlfn.XLOOKUP(A11,Data!A:A,Data!E:E)*AD11</f>
        <v>#REF!</v>
      </c>
      <c r="AJ11" s="151">
        <v>5640</v>
      </c>
      <c r="AK11" s="151"/>
      <c r="AL11" s="151" t="e">
        <f>SUM(AE11:AK11)</f>
        <v>#REF!</v>
      </c>
      <c r="AM11" s="151" t="e">
        <f>AL11/AD11</f>
        <v>#REF!</v>
      </c>
      <c r="AN11" s="151">
        <v>-292222.87</v>
      </c>
      <c r="AO11" s="151">
        <v>-314211.13</v>
      </c>
      <c r="AP11" s="102"/>
    </row>
    <row r="12" spans="1:42">
      <c r="A12" s="164">
        <v>8502062</v>
      </c>
      <c r="B12" s="306" t="s">
        <v>6</v>
      </c>
      <c r="C12" s="147" t="str">
        <f>VLOOKUP(RIGHT(A12,4)*1,APN!A:C,3,FALSE)</f>
        <v>Maintained</v>
      </c>
      <c r="D12" s="147" t="str">
        <f>VLOOKUP(A12,Data!$A$3:$I$81,9,FALSE)</f>
        <v>PRI</v>
      </c>
      <c r="E12" s="165">
        <f>VLOOKUP(A12,Data!A:E,5,FALSE)</f>
        <v>11</v>
      </c>
      <c r="F12" s="147" t="str">
        <f>VLOOKUP(A12,Data!$A$3:$J$81,10,FALSE)</f>
        <v>SEMH</v>
      </c>
      <c r="G12" s="147"/>
      <c r="H12" s="295"/>
      <c r="I12" s="604">
        <f>VLOOKUP(A12,Data!A:E,5,FALSE)*place</f>
        <v>66000</v>
      </c>
      <c r="J12" s="609">
        <f>IFERROR(VLOOKUP(A12,'NOR Special Units'!$B:$AF,31,FALSE)*Values!$D$28,0)</f>
        <v>0</v>
      </c>
      <c r="K12" s="607">
        <f>VLOOKUP(A12,Data!A:E,5,FALSE)*legacy</f>
        <v>6016.6754610270009</v>
      </c>
      <c r="L12" s="428" cm="1">
        <f t="array" ref="L12">INDEX(Values!$D$1:$D$985,MATCH(1,(Values!$B$1:$B$985=F12)*(Values!$C$1:$C$985=D12),0))*VLOOKUP(A12,Data!$A$1:$F$1029,6,FALSE)</f>
        <v>141218</v>
      </c>
      <c r="M12" s="157">
        <f>(VLOOKUP(A12,Data!$A$3:$X$81,18,FALSE)*IF(D12="Pri",TACT_PRI,TACT_SEC))+(VLOOKUP(A12,Data!$A$3:$X$81,19,FALSE)*IF(D12="Pri",SIGN_PRI,SIGN_SEC))+(VLOOKUP(A12,Data!$A$3:$X$81,20,FALSE)*IF(D12="Pri",NA_PRI,NA_SEC))+(VLOOKUP(A12,Data!$A$3:$X$81,21,FALSE)*IF(D12="Pri",asd_pri,asd_sec))+(VLOOKUP(A12,Data!$A$3:$X$81,22,FALSE)*IF(D12="Pri",MLD_PRI,MLD_SEC)+VLOOKUP(A12,Data!$A$3:$X$81,23,FALSE)*IF(D12="Pri",SEMH_PRI,SEMH_SEC))+(VLOOKUP(A12,Data!$A$3:$X$81,24,FALSE)*IF(D12="Pri",SLCN_PRI,SLCN_SEC))</f>
        <v>0</v>
      </c>
      <c r="N12" s="157">
        <f>(VLOOKUP(A12,Data!$A$3:$AD$81,26,FALSE)*IF(D12="Pri",NA_PRI,NA_SEC))+(VLOOKUP(A12,Data!$A$3:$AD$81,27,FALSE)*IF(D12="Pri",asd_pri,asd_sec))+(VLOOKUP(A12,Data!$A$3:$AD$81,28,FALSE)*IF(D12="Pri",MLD_PRI,MLD_SEC)+VLOOKUP(A12,Data!$A$3:$AD$81,29,FALSE)*IF(D12="Pri",SEMH_PRI,SEMH_SEC))+(VLOOKUP(A12,Data!$A$3:$AD$81,30,FALSE)*IF(D12="Pri",SLCN_PRI,SLCN_SEC))</f>
        <v>0</v>
      </c>
      <c r="O12" s="304">
        <f t="shared" si="4"/>
        <v>141218</v>
      </c>
      <c r="P12" s="159">
        <f t="shared" si="0"/>
        <v>12838</v>
      </c>
      <c r="Q12" s="160">
        <f>VLOOKUP($A12,MFG!$A$7:$AC$85,29,FALSE)*VLOOKUP($A12,Data!$A$4:$E$81,5,FALSE)</f>
        <v>0</v>
      </c>
      <c r="R12" s="167">
        <f t="shared" si="5"/>
        <v>141218</v>
      </c>
      <c r="S12" s="162"/>
      <c r="T12" s="255">
        <f>_xlfn.IFNA(VLOOKUP(A12,'2025-26 Budget Share'!$A$5:$W$62,17,FALSE),0)</f>
        <v>116200.00000000001</v>
      </c>
      <c r="U12" s="305">
        <f t="shared" si="1"/>
        <v>25017.999999999985</v>
      </c>
      <c r="V12" s="305">
        <f t="shared" si="2"/>
        <v>12838</v>
      </c>
      <c r="W12" s="305">
        <f>_xlfn.IFNA(VLOOKUP(A12,'2025-26 Budget Share'!$A$5:$W$62,21,FALSE),0)</f>
        <v>12450.000000000004</v>
      </c>
      <c r="X12" s="256">
        <f t="shared" si="6"/>
        <v>387.99999999999636</v>
      </c>
      <c r="Y12" s="446">
        <f>_xlfn.XLOOKUP(A12,Data!$D$87:$D$164,Data!$F$87:$F$164)*'Budget Shares'!E12</f>
        <v>3932.6099999999997</v>
      </c>
      <c r="Z12" s="163"/>
      <c r="AA12" s="163">
        <f t="shared" si="3"/>
        <v>0</v>
      </c>
      <c r="AB12" s="163"/>
      <c r="AC12" s="102" t="s">
        <v>147</v>
      </c>
      <c r="AD12" s="102">
        <f>SUMIFS(APN!L:L,APN!A:A,RIGHT(A12,4)*1,APN!H:H,"SEMH")</f>
        <v>11</v>
      </c>
      <c r="AE12" s="151">
        <f t="shared" ref="AE12:AE18" si="15">AD12*6000</f>
        <v>66000</v>
      </c>
      <c r="AF12" s="151">
        <f t="shared" ref="AF12:AF18" si="16">AD12*4000</f>
        <v>44000</v>
      </c>
      <c r="AG12" s="151">
        <f>IF(D12="PRI",SEMH_PRI,IF(D12="SEC",SEMH_SEC,0))*AD12</f>
        <v>141218</v>
      </c>
      <c r="AH12" s="151">
        <f>_xlfn.XLOOKUP(A12,MFG!A:A,MFG!AC:AC)*AD12</f>
        <v>0</v>
      </c>
      <c r="AI12" s="151" t="e">
        <f>_xlfn.XLOOKUP(A12,Data!A:A,Data!#REF!)/_xlfn.XLOOKUP(A12,Data!A:A,Data!E:E)*AD12</f>
        <v>#REF!</v>
      </c>
      <c r="AJ12" s="151"/>
      <c r="AK12" s="151"/>
      <c r="AL12" s="151" t="e">
        <f t="shared" ref="AL12:AL18" si="17">SUM(AE12:AK12)</f>
        <v>#REF!</v>
      </c>
      <c r="AM12" s="151" t="e">
        <f t="shared" ref="AM12:AM18" si="18">AL12/AD12</f>
        <v>#REF!</v>
      </c>
      <c r="AN12" s="151">
        <v>-191201.81</v>
      </c>
      <c r="AO12" s="151">
        <v>-197683.54</v>
      </c>
      <c r="AP12" s="102"/>
    </row>
    <row r="13" spans="1:42">
      <c r="A13" s="164">
        <v>8502070</v>
      </c>
      <c r="B13" s="549" t="s">
        <v>148</v>
      </c>
      <c r="C13" s="147" t="str">
        <f>VLOOKUP(RIGHT(A13,4)*1,APN!A:C,3,FALSE)</f>
        <v>Academy</v>
      </c>
      <c r="D13" s="147" t="str">
        <f>VLOOKUP(A13,Data!$A$3:$I$81,9,FALSE)</f>
        <v>PRI</v>
      </c>
      <c r="E13" s="165">
        <f>VLOOKUP(A13,Data!A:E,5,FALSE)</f>
        <v>2.333333333333333</v>
      </c>
      <c r="F13" s="147" t="str">
        <f>VLOOKUP(A13,Data!$A$3:$J$81,10,FALSE)</f>
        <v>SEMH</v>
      </c>
      <c r="G13" s="147"/>
      <c r="H13" s="295"/>
      <c r="I13" s="604">
        <f>VLOOKUP(A13,Data!A:E,5,FALSE)*place</f>
        <v>13999.999999999998</v>
      </c>
      <c r="J13" s="609">
        <f>IFERROR(VLOOKUP(A13,'NOR Special Units'!$B:$AF,31,FALSE)*Values!$D$28,0)</f>
        <v>16000</v>
      </c>
      <c r="K13" s="607">
        <f>VLOOKUP(A13,Data!A:E,5,FALSE)*legacy</f>
        <v>1276.2644917330001</v>
      </c>
      <c r="L13" s="428" cm="1">
        <f t="array" ref="L13">INDEX(Values!$D$1:$D$985,MATCH(1,(Values!$B$1:$B$985=F13)*(Values!$C$1:$C$985=D13),0))*VLOOKUP(A13,Data!$A$1:$F$1029,6,FALSE)</f>
        <v>29955.333333333336</v>
      </c>
      <c r="M13" s="157">
        <f>(VLOOKUP(A13,Data!$A$3:$X$81,18,FALSE)*IF(D13="Pri",TACT_PRI,TACT_SEC))+(VLOOKUP(A13,Data!$A$3:$X$81,19,FALSE)*IF(D13="Pri",SIGN_PRI,SIGN_SEC))+(VLOOKUP(A13,Data!$A$3:$X$81,20,FALSE)*IF(D13="Pri",NA_PRI,NA_SEC))+(VLOOKUP(A13,Data!$A$3:$X$81,21,FALSE)*IF(D13="Pri",asd_pri,asd_sec))+(VLOOKUP(A13,Data!$A$3:$X$81,22,FALSE)*IF(D13="Pri",MLD_PRI,MLD_SEC)+VLOOKUP(A13,Data!$A$3:$X$81,23,FALSE)*IF(D13="Pri",SEMH_PRI,SEMH_SEC))+(VLOOKUP(A13,Data!$A$3:$X$81,24,FALSE)*IF(D13="Pri",SLCN_PRI,SLCN_SEC))</f>
        <v>0</v>
      </c>
      <c r="N13" s="157">
        <f>(VLOOKUP(A13,Data!$A$3:$AD$81,26,FALSE)*IF(D13="Pri",NA_PRI,NA_SEC))+(VLOOKUP(A13,Data!$A$3:$AD$81,27,FALSE)*IF(D13="Pri",asd_pri,asd_sec))+(VLOOKUP(A13,Data!$A$3:$AD$81,28,FALSE)*IF(D13="Pri",MLD_PRI,MLD_SEC)+VLOOKUP(A13,Data!$A$3:$AD$81,29,FALSE)*IF(D13="Pri",SEMH_PRI,SEMH_SEC))+(VLOOKUP(A13,Data!$A$3:$AD$81,30,FALSE)*IF(D13="Pri",SLCN_PRI,SLCN_SEC))</f>
        <v>0</v>
      </c>
      <c r="O13" s="304">
        <f t="shared" si="4"/>
        <v>29955.333333333336</v>
      </c>
      <c r="P13" s="159">
        <f t="shared" si="0"/>
        <v>12838.000000000002</v>
      </c>
      <c r="Q13" s="160">
        <f>VLOOKUP($A13,MFG!$A$7:$AC$85,29,FALSE)*VLOOKUP($A13,Data!$A$4:$E$81,5,FALSE)</f>
        <v>0</v>
      </c>
      <c r="R13" s="167">
        <f t="shared" si="5"/>
        <v>29955.333333333336</v>
      </c>
      <c r="S13" s="162"/>
      <c r="T13" s="255">
        <f>_xlfn.IFNA(VLOOKUP(A13,'2025-26 Budget Share'!$A$5:$W$62,17,FALSE),0)</f>
        <v>0</v>
      </c>
      <c r="U13" s="305">
        <f t="shared" si="1"/>
        <v>29955.333333333336</v>
      </c>
      <c r="V13" s="305">
        <f t="shared" si="2"/>
        <v>12838.000000000002</v>
      </c>
      <c r="W13" s="305">
        <f>_xlfn.IFNA(VLOOKUP(A13,'2025-26 Budget Share'!$A$5:$W$62,21,FALSE),0)</f>
        <v>0</v>
      </c>
      <c r="X13" s="256">
        <f t="shared" si="6"/>
        <v>12838.000000000002</v>
      </c>
      <c r="Y13" s="446">
        <f>_xlfn.XLOOKUP(A13,Data!$D$87:$D$164,Data!$F$87:$F$164)*'Budget Shares'!E13</f>
        <v>834.18999999999983</v>
      </c>
      <c r="Z13" s="163"/>
      <c r="AA13" s="163">
        <f t="shared" si="3"/>
        <v>0</v>
      </c>
      <c r="AB13" s="163"/>
      <c r="AC13" s="102"/>
      <c r="AD13" s="102"/>
      <c r="AE13" s="151"/>
      <c r="AF13" s="151"/>
      <c r="AG13" s="151"/>
      <c r="AH13" s="151"/>
      <c r="AI13" s="151"/>
      <c r="AJ13" s="151"/>
      <c r="AK13" s="151"/>
      <c r="AL13" s="151"/>
      <c r="AM13" s="151"/>
      <c r="AN13" s="151"/>
      <c r="AO13" s="151"/>
      <c r="AP13" s="102"/>
    </row>
    <row r="14" spans="1:42">
      <c r="A14" s="164">
        <v>8502071</v>
      </c>
      <c r="B14" s="549" t="s">
        <v>149</v>
      </c>
      <c r="C14" s="147" t="str">
        <f>VLOOKUP(RIGHT(A14,4)*1,APN!A:C,3,FALSE)</f>
        <v>Maintained</v>
      </c>
      <c r="D14" s="147" t="str">
        <f>VLOOKUP(A14,Data!$A$3:$I$81,9,FALSE)</f>
        <v>PRI</v>
      </c>
      <c r="E14" s="165">
        <f>VLOOKUP(A14,Data!A:E,5,FALSE)</f>
        <v>2.916666666666667</v>
      </c>
      <c r="F14" s="147" t="str">
        <f>VLOOKUP(A14,Data!$A$3:$J$81,10,FALSE)</f>
        <v>ASC</v>
      </c>
      <c r="G14" s="147"/>
      <c r="H14" s="295"/>
      <c r="I14" s="604">
        <f>VLOOKUP(A14,Data!A:E,5,FALSE)*place</f>
        <v>17500</v>
      </c>
      <c r="J14" s="609">
        <f>IFERROR(VLOOKUP(A14,'NOR Special Units'!$B:$AF,31,FALSE)*Values!$D$28,0)</f>
        <v>11680</v>
      </c>
      <c r="K14" s="607">
        <f>VLOOKUP(A14,Data!A:E,5,FALSE)*legacy</f>
        <v>1595.3306146662503</v>
      </c>
      <c r="L14" s="428" cm="1">
        <f t="array" ref="L14">INDEX(Values!$D$1:$D$985,MATCH(1,(Values!$B$1:$B$985=F14)*(Values!$C$1:$C$985=D14),0))*VLOOKUP(A14,Data!$A$1:$F$1029,6,FALSE)</f>
        <v>32398.333333333332</v>
      </c>
      <c r="M14" s="157">
        <f>(VLOOKUP(A14,Data!$A$3:$X$81,18,FALSE)*IF(D14="Pri",TACT_PRI,TACT_SEC))+(VLOOKUP(A14,Data!$A$3:$X$81,19,FALSE)*IF(D14="Pri",SIGN_PRI,SIGN_SEC))+(VLOOKUP(A14,Data!$A$3:$X$81,20,FALSE)*IF(D14="Pri",NA_PRI,NA_SEC))+(VLOOKUP(A14,Data!$A$3:$X$81,21,FALSE)*IF(D14="Pri",asd_pri,asd_sec))+(VLOOKUP(A14,Data!$A$3:$X$81,22,FALSE)*IF(D14="Pri",MLD_PRI,MLD_SEC)+VLOOKUP(A14,Data!$A$3:$X$81,23,FALSE)*IF(D14="Pri",SEMH_PRI,SEMH_SEC))+(VLOOKUP(A14,Data!$A$3:$X$81,24,FALSE)*IF(D14="Pri",SLCN_PRI,SLCN_SEC))</f>
        <v>0</v>
      </c>
      <c r="N14" s="157">
        <f>(VLOOKUP(A14,Data!$A$3:$AD$81,26,FALSE)*IF(D14="Pri",NA_PRI,NA_SEC))+(VLOOKUP(A14,Data!$A$3:$AD$81,27,FALSE)*IF(D14="Pri",asd_pri,asd_sec))+(VLOOKUP(A14,Data!$A$3:$AD$81,28,FALSE)*IF(D14="Pri",MLD_PRI,MLD_SEC)+VLOOKUP(A14,Data!$A$3:$AD$81,29,FALSE)*IF(D14="Pri",SEMH_PRI,SEMH_SEC))+(VLOOKUP(A14,Data!$A$3:$AD$81,30,FALSE)*IF(D14="Pri",SLCN_PRI,SLCN_SEC))</f>
        <v>0</v>
      </c>
      <c r="O14" s="304">
        <f t="shared" si="4"/>
        <v>32398.333333333332</v>
      </c>
      <c r="P14" s="159">
        <f t="shared" si="0"/>
        <v>11107.999999999998</v>
      </c>
      <c r="Q14" s="160">
        <f>VLOOKUP($A14,MFG!$A$7:$AC$85,29,FALSE)*VLOOKUP($A14,Data!$A$4:$E$81,5,FALSE)</f>
        <v>0</v>
      </c>
      <c r="R14" s="167">
        <f t="shared" si="5"/>
        <v>32398.333333333332</v>
      </c>
      <c r="S14" s="162"/>
      <c r="T14" s="255">
        <f>_xlfn.IFNA(VLOOKUP(A14,'2025-26 Budget Share'!$A$5:$W$62,17,FALSE),0)</f>
        <v>0</v>
      </c>
      <c r="U14" s="305">
        <f t="shared" si="1"/>
        <v>32398.333333333332</v>
      </c>
      <c r="V14" s="305">
        <f t="shared" si="2"/>
        <v>11107.999999999998</v>
      </c>
      <c r="W14" s="305">
        <f>_xlfn.IFNA(VLOOKUP(A14,'2025-26 Budget Share'!$A$5:$W$62,21,FALSE),0)</f>
        <v>0</v>
      </c>
      <c r="X14" s="256">
        <f t="shared" si="6"/>
        <v>11107.999999999998</v>
      </c>
      <c r="Y14" s="446">
        <f>_xlfn.XLOOKUP(A14,Data!$D$87:$D$164,Data!$F$87:$F$164)*'Budget Shares'!E14</f>
        <v>1568.8200000000002</v>
      </c>
      <c r="Z14" s="163"/>
      <c r="AA14" s="163">
        <f t="shared" si="3"/>
        <v>0</v>
      </c>
      <c r="AB14" s="163"/>
      <c r="AC14" s="102"/>
      <c r="AD14" s="102"/>
      <c r="AE14" s="151"/>
      <c r="AF14" s="151"/>
      <c r="AG14" s="151"/>
      <c r="AH14" s="151"/>
      <c r="AI14" s="151"/>
      <c r="AJ14" s="151"/>
      <c r="AK14" s="151"/>
      <c r="AL14" s="151"/>
      <c r="AM14" s="151"/>
      <c r="AN14" s="151"/>
      <c r="AO14" s="151"/>
      <c r="AP14" s="102"/>
    </row>
    <row r="15" spans="1:42">
      <c r="A15" s="164">
        <v>8502072</v>
      </c>
      <c r="B15" s="549" t="s">
        <v>150</v>
      </c>
      <c r="C15" s="147" t="str">
        <f>VLOOKUP(RIGHT(A15,4)*1,APN!A:C,3,FALSE)</f>
        <v>Academy</v>
      </c>
      <c r="D15" s="147" t="str">
        <f>VLOOKUP(A15,Data!$A$3:$I$81,9,FALSE)</f>
        <v>PRI</v>
      </c>
      <c r="E15" s="165">
        <f>VLOOKUP(A15,Data!A:E,5,FALSE)</f>
        <v>2.333333333333333</v>
      </c>
      <c r="F15" s="147" t="str">
        <f>VLOOKUP(A15,Data!$A$3:$J$81,10,FALSE)</f>
        <v>SEMH</v>
      </c>
      <c r="G15" s="147"/>
      <c r="H15" s="295"/>
      <c r="I15" s="604">
        <f>VLOOKUP(A15,Data!A:E,5,FALSE)*place</f>
        <v>13999.999999999998</v>
      </c>
      <c r="J15" s="609">
        <f>IFERROR(VLOOKUP(A15,'NOR Special Units'!$B:$AF,31,FALSE)*Values!$D$28,0)</f>
        <v>16000</v>
      </c>
      <c r="K15" s="607">
        <f>VLOOKUP(A15,Data!A:E,5,FALSE)*legacy</f>
        <v>1276.2644917330001</v>
      </c>
      <c r="L15" s="428" cm="1">
        <f t="array" ref="L15">INDEX(Values!$D$1:$D$985,MATCH(1,(Values!$B$1:$B$985=F15)*(Values!$C$1:$C$985=D15),0))*VLOOKUP(A15,Data!$A$1:$F$1029,6,FALSE)</f>
        <v>29955.333333333336</v>
      </c>
      <c r="M15" s="157">
        <f>(VLOOKUP(A15,Data!$A$3:$X$81,18,FALSE)*IF(D15="Pri",TACT_PRI,TACT_SEC))+(VLOOKUP(A15,Data!$A$3:$X$81,19,FALSE)*IF(D15="Pri",SIGN_PRI,SIGN_SEC))+(VLOOKUP(A15,Data!$A$3:$X$81,20,FALSE)*IF(D15="Pri",NA_PRI,NA_SEC))+(VLOOKUP(A15,Data!$A$3:$X$81,21,FALSE)*IF(D15="Pri",asd_pri,asd_sec))+(VLOOKUP(A15,Data!$A$3:$X$81,22,FALSE)*IF(D15="Pri",MLD_PRI,MLD_SEC)+VLOOKUP(A15,Data!$A$3:$X$81,23,FALSE)*IF(D15="Pri",SEMH_PRI,SEMH_SEC))+(VLOOKUP(A15,Data!$A$3:$X$81,24,FALSE)*IF(D15="Pri",SLCN_PRI,SLCN_SEC))</f>
        <v>0</v>
      </c>
      <c r="N15" s="157">
        <f>(VLOOKUP(A15,Data!$A$3:$AD$81,26,FALSE)*IF(D15="Pri",NA_PRI,NA_SEC))+(VLOOKUP(A15,Data!$A$3:$AD$81,27,FALSE)*IF(D15="Pri",asd_pri,asd_sec))+(VLOOKUP(A15,Data!$A$3:$AD$81,28,FALSE)*IF(D15="Pri",MLD_PRI,MLD_SEC)+VLOOKUP(A15,Data!$A$3:$AD$81,29,FALSE)*IF(D15="Pri",SEMH_PRI,SEMH_SEC))+(VLOOKUP(A15,Data!$A$3:$AD$81,30,FALSE)*IF(D15="Pri",SLCN_PRI,SLCN_SEC))</f>
        <v>0</v>
      </c>
      <c r="O15" s="304">
        <f t="shared" si="4"/>
        <v>29955.333333333336</v>
      </c>
      <c r="P15" s="159">
        <f t="shared" si="0"/>
        <v>12838.000000000002</v>
      </c>
      <c r="Q15" s="160">
        <f>VLOOKUP($A15,MFG!$A$7:$AC$85,29,FALSE)*VLOOKUP($A15,Data!$A$4:$E$81,5,FALSE)</f>
        <v>0</v>
      </c>
      <c r="R15" s="167">
        <f t="shared" si="5"/>
        <v>29955.333333333336</v>
      </c>
      <c r="S15" s="162"/>
      <c r="T15" s="255">
        <f>_xlfn.IFNA(VLOOKUP(A15,'2025-26 Budget Share'!$A$5:$W$62,17,FALSE),0)</f>
        <v>0</v>
      </c>
      <c r="U15" s="305">
        <f t="shared" si="1"/>
        <v>29955.333333333336</v>
      </c>
      <c r="V15" s="305">
        <f t="shared" si="2"/>
        <v>12838.000000000002</v>
      </c>
      <c r="W15" s="305">
        <f>_xlfn.IFNA(VLOOKUP(A15,'2025-26 Budget Share'!$A$5:$W$62,21,FALSE),0)</f>
        <v>0</v>
      </c>
      <c r="X15" s="256">
        <f t="shared" si="6"/>
        <v>12838.000000000002</v>
      </c>
      <c r="Y15" s="446">
        <f>_xlfn.XLOOKUP(A15,Data!$D$87:$D$164,Data!$F$87:$F$164)*'Budget Shares'!E15</f>
        <v>834.18999999999983</v>
      </c>
      <c r="Z15" s="163"/>
      <c r="AA15" s="163">
        <f t="shared" si="3"/>
        <v>0</v>
      </c>
      <c r="AB15" s="163"/>
      <c r="AC15" s="102"/>
      <c r="AD15" s="102"/>
      <c r="AE15" s="151"/>
      <c r="AF15" s="151"/>
      <c r="AG15" s="151"/>
      <c r="AH15" s="151"/>
      <c r="AI15" s="151"/>
      <c r="AJ15" s="151"/>
      <c r="AK15" s="151"/>
      <c r="AL15" s="151"/>
      <c r="AM15" s="151"/>
      <c r="AN15" s="151"/>
      <c r="AO15" s="151"/>
      <c r="AP15" s="102"/>
    </row>
    <row r="16" spans="1:42">
      <c r="A16" s="164">
        <v>8502073</v>
      </c>
      <c r="B16" s="549" t="s">
        <v>151</v>
      </c>
      <c r="C16" s="147" t="str">
        <f>VLOOKUP(RIGHT(A16,4)*1,APN!A:C,3,FALSE)</f>
        <v>Academy</v>
      </c>
      <c r="D16" s="147" t="str">
        <f>VLOOKUP(A16,Data!$A$3:$I$81,9,FALSE)</f>
        <v>PRI</v>
      </c>
      <c r="E16" s="165">
        <f>VLOOKUP(A16,Data!A:E,5,FALSE)</f>
        <v>2.333333333333333</v>
      </c>
      <c r="F16" s="147" t="str">
        <f>VLOOKUP(A16,Data!$A$3:$J$81,10,FALSE)</f>
        <v>SEMH</v>
      </c>
      <c r="G16" s="147"/>
      <c r="H16" s="295"/>
      <c r="I16" s="604">
        <f>VLOOKUP(A16,Data!A:E,5,FALSE)*place</f>
        <v>13999.999999999998</v>
      </c>
      <c r="J16" s="609">
        <f>IFERROR(VLOOKUP(A16,'NOR Special Units'!$B:$AF,31,FALSE)*Values!$D$28,0)</f>
        <v>16000</v>
      </c>
      <c r="K16" s="607">
        <f>VLOOKUP(A16,Data!A:E,5,FALSE)*legacy</f>
        <v>1276.2644917330001</v>
      </c>
      <c r="L16" s="428" cm="1">
        <f t="array" ref="L16">INDEX(Values!$D$1:$D$985,MATCH(1,(Values!$B$1:$B$985=F16)*(Values!$C$1:$C$985=D16),0))*VLOOKUP(A16,Data!$A$1:$F$1029,6,FALSE)</f>
        <v>29955.333333333336</v>
      </c>
      <c r="M16" s="157">
        <f>(VLOOKUP(A16,Data!$A$3:$X$81,18,FALSE)*IF(D16="Pri",TACT_PRI,TACT_SEC))+(VLOOKUP(A16,Data!$A$3:$X$81,19,FALSE)*IF(D16="Pri",SIGN_PRI,SIGN_SEC))+(VLOOKUP(A16,Data!$A$3:$X$81,20,FALSE)*IF(D16="Pri",NA_PRI,NA_SEC))+(VLOOKUP(A16,Data!$A$3:$X$81,21,FALSE)*IF(D16="Pri",asd_pri,asd_sec))+(VLOOKUP(A16,Data!$A$3:$X$81,22,FALSE)*IF(D16="Pri",MLD_PRI,MLD_SEC)+VLOOKUP(A16,Data!$A$3:$X$81,23,FALSE)*IF(D16="Pri",SEMH_PRI,SEMH_SEC))+(VLOOKUP(A16,Data!$A$3:$X$81,24,FALSE)*IF(D16="Pri",SLCN_PRI,SLCN_SEC))</f>
        <v>0</v>
      </c>
      <c r="N16" s="157">
        <f>(VLOOKUP(A16,Data!$A$3:$AD$81,26,FALSE)*IF(D16="Pri",NA_PRI,NA_SEC))+(VLOOKUP(A16,Data!$A$3:$AD$81,27,FALSE)*IF(D16="Pri",asd_pri,asd_sec))+(VLOOKUP(A16,Data!$A$3:$AD$81,28,FALSE)*IF(D16="Pri",MLD_PRI,MLD_SEC)+VLOOKUP(A16,Data!$A$3:$AD$81,29,FALSE)*IF(D16="Pri",SEMH_PRI,SEMH_SEC))+(VLOOKUP(A16,Data!$A$3:$AD$81,30,FALSE)*IF(D16="Pri",SLCN_PRI,SLCN_SEC))</f>
        <v>0</v>
      </c>
      <c r="O16" s="304">
        <f t="shared" si="4"/>
        <v>29955.333333333336</v>
      </c>
      <c r="P16" s="159">
        <f t="shared" si="0"/>
        <v>12838.000000000002</v>
      </c>
      <c r="Q16" s="160">
        <f>VLOOKUP($A16,MFG!$A$7:$AC$85,29,FALSE)*VLOOKUP($A16,Data!$A$4:$E$81,5,FALSE)</f>
        <v>0</v>
      </c>
      <c r="R16" s="167">
        <f t="shared" si="5"/>
        <v>29955.333333333336</v>
      </c>
      <c r="S16" s="162"/>
      <c r="T16" s="255">
        <f>_xlfn.IFNA(VLOOKUP(A16,'2025-26 Budget Share'!$A$5:$W$62,17,FALSE),0)</f>
        <v>0</v>
      </c>
      <c r="U16" s="305">
        <f t="shared" si="1"/>
        <v>29955.333333333336</v>
      </c>
      <c r="V16" s="305">
        <f t="shared" si="2"/>
        <v>12838.000000000002</v>
      </c>
      <c r="W16" s="305">
        <f>_xlfn.IFNA(VLOOKUP(A16,'2025-26 Budget Share'!$A$5:$W$62,21,FALSE),0)</f>
        <v>0</v>
      </c>
      <c r="X16" s="256">
        <f t="shared" si="6"/>
        <v>12838.000000000002</v>
      </c>
      <c r="Y16" s="446">
        <f>_xlfn.XLOOKUP(A16,Data!$D$87:$D$164,Data!$F$87:$F$164)*'Budget Shares'!E16</f>
        <v>834.18999999999983</v>
      </c>
      <c r="Z16" s="163"/>
      <c r="AA16" s="163">
        <f t="shared" si="3"/>
        <v>0</v>
      </c>
      <c r="AB16" s="163"/>
      <c r="AC16" s="102"/>
      <c r="AD16" s="102"/>
      <c r="AE16" s="151"/>
      <c r="AF16" s="151"/>
      <c r="AG16" s="151"/>
      <c r="AH16" s="151"/>
      <c r="AI16" s="151"/>
      <c r="AJ16" s="151"/>
      <c r="AK16" s="151"/>
      <c r="AL16" s="151"/>
      <c r="AM16" s="151"/>
      <c r="AN16" s="151"/>
      <c r="AO16" s="151"/>
      <c r="AP16" s="102"/>
    </row>
    <row r="17" spans="1:41">
      <c r="A17" s="164">
        <v>8502091</v>
      </c>
      <c r="B17" s="549" t="s">
        <v>152</v>
      </c>
      <c r="C17" s="147" t="str">
        <f>VLOOKUP(RIGHT(A17,4)*1,APN!A:C,3,FALSE)</f>
        <v>Maintained</v>
      </c>
      <c r="D17" s="147" t="str">
        <f>VLOOKUP(A17,Data!$A$3:$I$81,9,FALSE)</f>
        <v>PRI</v>
      </c>
      <c r="E17" s="165">
        <f>VLOOKUP(A17,Data!A:E,5,FALSE)</f>
        <v>3.5</v>
      </c>
      <c r="F17" s="147" t="str">
        <f>VLOOKUP(A17,Data!$A$3:$J$81,10,FALSE)</f>
        <v>ASC</v>
      </c>
      <c r="G17" s="147"/>
      <c r="H17" s="295"/>
      <c r="I17" s="604">
        <f>VLOOKUP(A17,Data!A:E,5,FALSE)*place</f>
        <v>21000</v>
      </c>
      <c r="J17" s="609">
        <f>IFERROR(VLOOKUP(A17,'NOR Special Units'!$B:$AF,31,FALSE)*Values!$D$28,0)</f>
        <v>14000</v>
      </c>
      <c r="K17" s="607">
        <f>VLOOKUP(A17,Data!A:E,5,FALSE)*legacy</f>
        <v>1914.3967375995003</v>
      </c>
      <c r="L17" s="428" cm="1">
        <f t="array" ref="L17">INDEX(Values!$D$1:$D$985,MATCH(1,(Values!$B$1:$B$985=F17)*(Values!$C$1:$C$985=D17),0))*VLOOKUP(A17,Data!$A$1:$F$1029,6,FALSE)</f>
        <v>38878</v>
      </c>
      <c r="M17" s="157">
        <f>(VLOOKUP(A17,Data!$A$3:$X$81,18,FALSE)*IF(D17="Pri",TACT_PRI,TACT_SEC))+(VLOOKUP(A17,Data!$A$3:$X$81,19,FALSE)*IF(D17="Pri",SIGN_PRI,SIGN_SEC))+(VLOOKUP(A17,Data!$A$3:$X$81,20,FALSE)*IF(D17="Pri",NA_PRI,NA_SEC))+(VLOOKUP(A17,Data!$A$3:$X$81,21,FALSE)*IF(D17="Pri",asd_pri,asd_sec))+(VLOOKUP(A17,Data!$A$3:$X$81,22,FALSE)*IF(D17="Pri",MLD_PRI,MLD_SEC)+VLOOKUP(A17,Data!$A$3:$X$81,23,FALSE)*IF(D17="Pri",SEMH_PRI,SEMH_SEC))+(VLOOKUP(A17,Data!$A$3:$X$81,24,FALSE)*IF(D17="Pri",SLCN_PRI,SLCN_SEC))</f>
        <v>0</v>
      </c>
      <c r="N17" s="157">
        <f>(VLOOKUP(A17,Data!$A$3:$AD$81,26,FALSE)*IF(D17="Pri",NA_PRI,NA_SEC))+(VLOOKUP(A17,Data!$A$3:$AD$81,27,FALSE)*IF(D17="Pri",asd_pri,asd_sec))+(VLOOKUP(A17,Data!$A$3:$AD$81,28,FALSE)*IF(D17="Pri",MLD_PRI,MLD_SEC)+VLOOKUP(A17,Data!$A$3:$AD$81,29,FALSE)*IF(D17="Pri",SEMH_PRI,SEMH_SEC))+(VLOOKUP(A17,Data!$A$3:$AD$81,30,FALSE)*IF(D17="Pri",SLCN_PRI,SLCN_SEC))</f>
        <v>0</v>
      </c>
      <c r="O17" s="304">
        <f t="shared" si="4"/>
        <v>38878</v>
      </c>
      <c r="P17" s="159">
        <f t="shared" si="0"/>
        <v>11108</v>
      </c>
      <c r="Q17" s="160">
        <f>VLOOKUP($A17,MFG!$A$7:$AC$85,29,FALSE)*VLOOKUP($A17,Data!$A$4:$E$81,5,FALSE)</f>
        <v>0</v>
      </c>
      <c r="R17" s="167">
        <f t="shared" si="5"/>
        <v>38878</v>
      </c>
      <c r="S17" s="162"/>
      <c r="T17" s="255">
        <f>_xlfn.IFNA(VLOOKUP(A17,'2025-26 Budget Share'!$A$5:$W$62,17,FALSE),0)</f>
        <v>0</v>
      </c>
      <c r="U17" s="305">
        <f t="shared" si="1"/>
        <v>38878</v>
      </c>
      <c r="V17" s="305">
        <f t="shared" si="2"/>
        <v>11108</v>
      </c>
      <c r="W17" s="305">
        <f>_xlfn.IFNA(VLOOKUP(A17,'2025-26 Budget Share'!$A$5:$W$62,21,FALSE),0)</f>
        <v>0</v>
      </c>
      <c r="X17" s="256">
        <f t="shared" si="6"/>
        <v>11108</v>
      </c>
      <c r="Y17" s="446">
        <f>_xlfn.XLOOKUP(A17,Data!$D$87:$D$164,Data!$F$87:$F$164)*'Budget Shares'!E17</f>
        <v>1882.58</v>
      </c>
      <c r="Z17" s="163"/>
      <c r="AA17" s="163">
        <f t="shared" si="3"/>
        <v>0</v>
      </c>
      <c r="AB17" s="163"/>
      <c r="AC17" s="102"/>
      <c r="AD17" s="102"/>
      <c r="AE17" s="151"/>
      <c r="AF17" s="151"/>
      <c r="AG17" s="151"/>
      <c r="AH17" s="151"/>
      <c r="AI17" s="151"/>
      <c r="AJ17" s="151"/>
      <c r="AK17" s="151"/>
      <c r="AL17" s="151"/>
      <c r="AM17" s="151"/>
      <c r="AN17" s="151"/>
      <c r="AO17" s="151"/>
    </row>
    <row r="18" spans="1:41">
      <c r="A18" s="164">
        <v>8502103</v>
      </c>
      <c r="B18" s="306" t="s">
        <v>8</v>
      </c>
      <c r="C18" s="147" t="str">
        <f>VLOOKUP(RIGHT(A18,4)*1,APN!A:C,3,FALSE)</f>
        <v>Maintained</v>
      </c>
      <c r="D18" s="147" t="str">
        <f>VLOOKUP(A18,Data!$A$3:$I$81,9,FALSE)</f>
        <v>PRI</v>
      </c>
      <c r="E18" s="165">
        <f>VLOOKUP(A18,Data!A:E,5,FALSE)</f>
        <v>7.9999999999999991</v>
      </c>
      <c r="F18" s="147" t="str">
        <f>VLOOKUP(A18,Data!$A$3:$J$81,10,FALSE)</f>
        <v>SEMH</v>
      </c>
      <c r="G18" s="147"/>
      <c r="H18" s="295"/>
      <c r="I18" s="604">
        <f>VLOOKUP(A18,Data!A:E,5,FALSE)*place</f>
        <v>47999.999999999993</v>
      </c>
      <c r="J18" s="609">
        <f>IFERROR(VLOOKUP(A18,'NOR Special Units'!$B:$AF,31,FALSE)*Values!$D$28,0)</f>
        <v>0</v>
      </c>
      <c r="K18" s="607">
        <f>VLOOKUP(A18,Data!A:E,5,FALSE)*legacy</f>
        <v>4375.7639716559997</v>
      </c>
      <c r="L18" s="428" cm="1">
        <f t="array" ref="L18">INDEX(Values!$D$1:$D$985,MATCH(1,(Values!$B$1:$B$985=F18)*(Values!$C$1:$C$985=D18),0))*VLOOKUP(A18,Data!$A$1:$F$1029,6,FALSE)</f>
        <v>102704</v>
      </c>
      <c r="M18" s="157">
        <f>(VLOOKUP(A18,Data!$A$3:$X$81,18,FALSE)*IF(D18="Pri",TACT_PRI,TACT_SEC))+(VLOOKUP(A18,Data!$A$3:$X$81,19,FALSE)*IF(D18="Pri",SIGN_PRI,SIGN_SEC))+(VLOOKUP(A18,Data!$A$3:$X$81,20,FALSE)*IF(D18="Pri",NA_PRI,NA_SEC))+(VLOOKUP(A18,Data!$A$3:$X$81,21,FALSE)*IF(D18="Pri",asd_pri,asd_sec))+(VLOOKUP(A18,Data!$A$3:$X$81,22,FALSE)*IF(D18="Pri",MLD_PRI,MLD_SEC)+VLOOKUP(A18,Data!$A$3:$X$81,23,FALSE)*IF(D18="Pri",SEMH_PRI,SEMH_SEC))+(VLOOKUP(A18,Data!$A$3:$X$81,24,FALSE)*IF(D18="Pri",SLCN_PRI,SLCN_SEC))</f>
        <v>0</v>
      </c>
      <c r="N18" s="157">
        <f>(VLOOKUP(A18,Data!$A$3:$AD$81,26,FALSE)*IF(D18="Pri",NA_PRI,NA_SEC))+(VLOOKUP(A18,Data!$A$3:$AD$81,27,FALSE)*IF(D18="Pri",asd_pri,asd_sec))+(VLOOKUP(A18,Data!$A$3:$AD$81,28,FALSE)*IF(D18="Pri",MLD_PRI,MLD_SEC)+VLOOKUP(A18,Data!$A$3:$AD$81,29,FALSE)*IF(D18="Pri",SEMH_PRI,SEMH_SEC))+(VLOOKUP(A18,Data!$A$3:$AD$81,30,FALSE)*IF(D18="Pri",SLCN_PRI,SLCN_SEC))</f>
        <v>0</v>
      </c>
      <c r="O18" s="304">
        <f t="shared" si="4"/>
        <v>102704</v>
      </c>
      <c r="P18" s="159">
        <f t="shared" si="0"/>
        <v>12838.000000000002</v>
      </c>
      <c r="Q18" s="160">
        <f>VLOOKUP($A18,MFG!$A$7:$AC$85,29,FALSE)*VLOOKUP($A18,Data!$A$4:$E$81,5,FALSE)</f>
        <v>0</v>
      </c>
      <c r="R18" s="167">
        <f t="shared" si="5"/>
        <v>102704</v>
      </c>
      <c r="S18" s="162"/>
      <c r="T18" s="255">
        <f>_xlfn.IFNA(VLOOKUP(A18,'2025-26 Budget Share'!$A$5:$W$62,17,FALSE),0)</f>
        <v>99600</v>
      </c>
      <c r="U18" s="305">
        <f t="shared" si="1"/>
        <v>3104</v>
      </c>
      <c r="V18" s="305">
        <f t="shared" si="2"/>
        <v>12838.000000000002</v>
      </c>
      <c r="W18" s="305">
        <f>_xlfn.IFNA(VLOOKUP(A18,'2025-26 Budget Share'!$A$5:$W$62,21,FALSE),0)</f>
        <v>12450.000000000002</v>
      </c>
      <c r="X18" s="256">
        <f t="shared" si="6"/>
        <v>388</v>
      </c>
      <c r="Y18" s="446">
        <f>_xlfn.XLOOKUP(A18,Data!$D$87:$D$164,Data!$F$87:$F$164)*'Budget Shares'!E18</f>
        <v>2860.0799999999995</v>
      </c>
      <c r="Z18" s="163"/>
      <c r="AA18" s="163">
        <f t="shared" si="3"/>
        <v>0</v>
      </c>
      <c r="AB18" s="163"/>
      <c r="AC18" s="102" t="s">
        <v>147</v>
      </c>
      <c r="AD18" s="102">
        <f>SUMIFS(APN!L:L,APN!A:A,RIGHT(A18,4)*1,APN!H:H,"SEMH")</f>
        <v>8</v>
      </c>
      <c r="AE18" s="151">
        <f t="shared" si="15"/>
        <v>48000</v>
      </c>
      <c r="AF18" s="151">
        <f t="shared" si="16"/>
        <v>32000</v>
      </c>
      <c r="AG18" s="151">
        <f>IF(D18="PRI",SEMH_PRI,IF(D18="SEC",SEMH_SEC,0))*AD18</f>
        <v>102704</v>
      </c>
      <c r="AH18" s="151">
        <f>_xlfn.XLOOKUP(A18,MFG!A:A,MFG!AC:AC)*AD18</f>
        <v>0</v>
      </c>
      <c r="AI18" s="151" t="e">
        <f>_xlfn.XLOOKUP(A18,Data!A:A,Data!#REF!)/_xlfn.XLOOKUP(A18,Data!A:A,Data!E:E)*AD18</f>
        <v>#REF!</v>
      </c>
      <c r="AJ18" s="151"/>
      <c r="AK18" s="151">
        <v>21090</v>
      </c>
      <c r="AL18" s="151" t="e">
        <f t="shared" si="17"/>
        <v>#REF!</v>
      </c>
      <c r="AM18" s="151" t="e">
        <f t="shared" si="18"/>
        <v>#REF!</v>
      </c>
      <c r="AN18" s="151">
        <v>-371438.60000000003</v>
      </c>
      <c r="AO18" s="151">
        <v>-289392.14</v>
      </c>
    </row>
    <row r="19" spans="1:41">
      <c r="A19" s="164">
        <v>8502111</v>
      </c>
      <c r="B19" s="306" t="s">
        <v>9</v>
      </c>
      <c r="C19" s="147" t="str">
        <f>VLOOKUP(RIGHT(A19,4)*1,APN!A:C,3,FALSE)</f>
        <v>Maintained</v>
      </c>
      <c r="D19" s="147" t="str">
        <f>VLOOKUP(A19,Data!$A$3:$I$81,9,FALSE)</f>
        <v>PRI</v>
      </c>
      <c r="E19" s="165">
        <f>VLOOKUP(A19,Data!A:E,5,FALSE)</f>
        <v>15.999999999999998</v>
      </c>
      <c r="F19" s="147" t="str">
        <f>VLOOKUP(A19,Data!$A$3:$J$81,10,FALSE)</f>
        <v>SLD</v>
      </c>
      <c r="G19" s="147" t="s">
        <v>141</v>
      </c>
      <c r="H19" s="295"/>
      <c r="I19" s="604">
        <f>VLOOKUP(A19,Data!A:E,5,FALSE)*place</f>
        <v>95999.999999999985</v>
      </c>
      <c r="J19" s="609">
        <f>IFERROR(VLOOKUP(A19,'NOR Special Units'!$B:$AF,31,FALSE)*Values!$D$28,0)</f>
        <v>0</v>
      </c>
      <c r="K19" s="607">
        <f>VLOOKUP(A19,Data!A:E,5,FALSE)*legacy</f>
        <v>8751.5279433119995</v>
      </c>
      <c r="L19" s="428" cm="1">
        <f t="array" ref="L19">INDEX(Values!$D$1:$D$985,MATCH(1,(Values!$B$1:$B$985=F19)*(Values!$C$1:$C$985=D19),0))*VLOOKUP(A19,Data!$A$1:$F$1029,6,FALSE)</f>
        <v>22728</v>
      </c>
      <c r="M19" s="157">
        <f>(VLOOKUP(A19,Data!$A$3:$X$81,18,FALSE)*IF(D19="Pri",TACT_PRI,TACT_SEC))+(VLOOKUP(A19,Data!$A$3:$X$81,19,FALSE)*IF(D19="Pri",SIGN_PRI,SIGN_SEC))+(VLOOKUP(A19,Data!$A$3:$X$81,20,FALSE)*IF(D19="Pri",NA_PRI,NA_SEC))+(VLOOKUP(A19,Data!$A$3:$X$81,21,FALSE)*IF(D19="Pri",asd_pri,asd_sec))+(VLOOKUP(A19,Data!$A$3:$X$81,22,FALSE)*IF(D19="Pri",MLD_PRI,MLD_SEC)+VLOOKUP(A19,Data!$A$3:$X$81,23,FALSE)*IF(D19="Pri",SEMH_PRI,SEMH_SEC))+(VLOOKUP(A19,Data!$A$3:$X$81,24,FALSE)*IF(D19="Pri",SLCN_PRI,SLCN_SEC))</f>
        <v>88863.999999999985</v>
      </c>
      <c r="N19" s="157">
        <f>(VLOOKUP(A19,Data!$A$3:$AD$81,26,FALSE)*IF(D19="Pri",NA_PRI,NA_SEC))+(VLOOKUP(A19,Data!$A$3:$AD$81,27,FALSE)*IF(D19="Pri",asd_pri,asd_sec))+(VLOOKUP(A19,Data!$A$3:$AD$81,28,FALSE)*IF(D19="Pri",MLD_PRI,MLD_SEC)+VLOOKUP(A19,Data!$A$3:$AD$81,29,FALSE)*IF(D19="Pri",SEMH_PRI,SEMH_SEC))+(VLOOKUP(A19,Data!$A$3:$AD$81,30,FALSE)*IF(D19="Pri",SLCN_PRI,SLCN_SEC))</f>
        <v>0</v>
      </c>
      <c r="O19" s="304">
        <f t="shared" si="4"/>
        <v>111591.99999999999</v>
      </c>
      <c r="P19" s="159">
        <f t="shared" si="0"/>
        <v>6974.5</v>
      </c>
      <c r="Q19" s="160">
        <f>VLOOKUP($A19,MFG!$A$7:$AC$85,29,FALSE)*VLOOKUP($A19,Data!$A$4:$E$81,5,FALSE)</f>
        <v>0</v>
      </c>
      <c r="R19" s="167">
        <f t="shared" si="5"/>
        <v>111591.99999999999</v>
      </c>
      <c r="S19" s="162"/>
      <c r="T19" s="255">
        <f>_xlfn.IFNA(VLOOKUP(A19,'2025-26 Budget Share'!$A$5:$W$62,17,FALSE),0)</f>
        <v>107319.99999999999</v>
      </c>
      <c r="U19" s="305">
        <f t="shared" si="1"/>
        <v>4272</v>
      </c>
      <c r="V19" s="305">
        <f t="shared" si="2"/>
        <v>6974.5</v>
      </c>
      <c r="W19" s="305">
        <f>_xlfn.IFNA(VLOOKUP(A19,'2025-26 Budget Share'!$A$5:$W$62,21,FALSE),0)</f>
        <v>6707.5</v>
      </c>
      <c r="X19" s="256">
        <f t="shared" si="6"/>
        <v>267</v>
      </c>
      <c r="Y19" s="446">
        <f>_xlfn.XLOOKUP(A19,Data!$D$87:$D$164,Data!$F$87:$F$164)*'Budget Shares'!E19</f>
        <v>6561.2799999999988</v>
      </c>
      <c r="Z19" s="163"/>
      <c r="AA19" s="163">
        <f t="shared" si="3"/>
        <v>0</v>
      </c>
      <c r="AB19" s="163"/>
      <c r="AC19" s="102"/>
      <c r="AD19" s="102"/>
      <c r="AE19" s="102"/>
      <c r="AF19" s="102"/>
      <c r="AG19" s="102"/>
      <c r="AH19" s="102"/>
      <c r="AI19" s="102"/>
      <c r="AJ19" s="102"/>
      <c r="AK19" s="102"/>
      <c r="AL19" s="102"/>
      <c r="AM19" s="102"/>
      <c r="AN19" s="102"/>
      <c r="AO19" s="102"/>
    </row>
    <row r="20" spans="1:41">
      <c r="A20" s="164">
        <v>8502127</v>
      </c>
      <c r="B20" s="306" t="s">
        <v>11</v>
      </c>
      <c r="C20" s="147" t="str">
        <f>VLOOKUP(RIGHT(A20,4)*1,APN!A:C,3,FALSE)</f>
        <v>Maintained</v>
      </c>
      <c r="D20" s="147" t="str">
        <f>VLOOKUP(A20,Data!$A$3:$I$81,9,FALSE)</f>
        <v>PRI</v>
      </c>
      <c r="E20" s="165">
        <f>VLOOKUP(A20,Data!A:E,5,FALSE)</f>
        <v>12</v>
      </c>
      <c r="F20" s="147" t="str">
        <f>VLOOKUP(A20,Data!$A$3:$J$81,10,FALSE)</f>
        <v>MLD</v>
      </c>
      <c r="G20" s="147"/>
      <c r="H20" s="295"/>
      <c r="I20" s="604">
        <f>VLOOKUP(A20,Data!A:E,5,FALSE)*place</f>
        <v>72000</v>
      </c>
      <c r="J20" s="609">
        <f>IFERROR(VLOOKUP(A20,'NOR Special Units'!$B:$AF,31,FALSE)*Values!$D$28,0)</f>
        <v>4000</v>
      </c>
      <c r="K20" s="607">
        <f>VLOOKUP(A20,Data!A:E,5,FALSE)*legacy</f>
        <v>6563.645957484001</v>
      </c>
      <c r="L20" s="428" cm="1">
        <f t="array" ref="L20">INDEX(Values!$D$1:$D$985,MATCH(1,(Values!$B$1:$B$985=F20)*(Values!$C$1:$C$985=D20),0))*VLOOKUP(A20,Data!$A$1:$F$1029,6,FALSE)</f>
        <v>18408</v>
      </c>
      <c r="M20" s="157">
        <f>(VLOOKUP(A20,Data!$A$3:$X$81,18,FALSE)*IF(D20="Pri",TACT_PRI,TACT_SEC))+(VLOOKUP(A20,Data!$A$3:$X$81,19,FALSE)*IF(D20="Pri",SIGN_PRI,SIGN_SEC))+(VLOOKUP(A20,Data!$A$3:$X$81,20,FALSE)*IF(D20="Pri",NA_PRI,NA_SEC))+(VLOOKUP(A20,Data!$A$3:$X$81,21,FALSE)*IF(D20="Pri",asd_pri,asd_sec))+(VLOOKUP(A20,Data!$A$3:$X$81,22,FALSE)*IF(D20="Pri",MLD_PRI,MLD_SEC)+VLOOKUP(A20,Data!$A$3:$X$81,23,FALSE)*IF(D20="Pri",SEMH_PRI,SEMH_SEC))+(VLOOKUP(A20,Data!$A$3:$X$81,24,FALSE)*IF(D20="Pri",SLCN_PRI,SLCN_SEC))</f>
        <v>0</v>
      </c>
      <c r="N20" s="157">
        <f>(VLOOKUP(A20,Data!$A$3:$AD$81,26,FALSE)*IF(D20="Pri",NA_PRI,NA_SEC))+(VLOOKUP(A20,Data!$A$3:$AD$81,27,FALSE)*IF(D20="Pri",asd_pri,asd_sec))+(VLOOKUP(A20,Data!$A$3:$AD$81,28,FALSE)*IF(D20="Pri",MLD_PRI,MLD_SEC)+VLOOKUP(A20,Data!$A$3:$AD$81,29,FALSE)*IF(D20="Pri",SEMH_PRI,SEMH_SEC))+(VLOOKUP(A20,Data!$A$3:$AD$81,30,FALSE)*IF(D20="Pri",SLCN_PRI,SLCN_SEC))</f>
        <v>0</v>
      </c>
      <c r="O20" s="304">
        <f t="shared" si="4"/>
        <v>18408</v>
      </c>
      <c r="P20" s="159">
        <f t="shared" si="0"/>
        <v>1534</v>
      </c>
      <c r="Q20" s="160">
        <f>VLOOKUP($A20,MFG!$A$7:$AC$85,29,FALSE)*VLOOKUP($A20,Data!$A$4:$E$81,5,FALSE)</f>
        <v>0</v>
      </c>
      <c r="R20" s="167">
        <f t="shared" si="5"/>
        <v>18408</v>
      </c>
      <c r="S20" s="162"/>
      <c r="T20" s="255">
        <f>_xlfn.IFNA(VLOOKUP(A20,'2025-26 Budget Share'!$A$5:$W$62,17,FALSE),0)</f>
        <v>16548</v>
      </c>
      <c r="U20" s="305">
        <f t="shared" si="1"/>
        <v>1860</v>
      </c>
      <c r="V20" s="305">
        <f t="shared" si="2"/>
        <v>1534</v>
      </c>
      <c r="W20" s="305">
        <f>_xlfn.IFNA(VLOOKUP(A20,'2025-26 Budget Share'!$A$5:$W$62,21,FALSE),0)</f>
        <v>1379</v>
      </c>
      <c r="X20" s="256">
        <f t="shared" si="6"/>
        <v>155</v>
      </c>
      <c r="Y20" s="446">
        <f>_xlfn.XLOOKUP(A20,Data!$D$87:$D$164,Data!$F$87:$F$164)*'Budget Shares'!E20</f>
        <v>2842.2</v>
      </c>
      <c r="Z20" s="163"/>
      <c r="AA20" s="163">
        <f t="shared" si="3"/>
        <v>0</v>
      </c>
      <c r="AB20" s="163"/>
      <c r="AC20" s="102"/>
      <c r="AD20" s="102"/>
      <c r="AE20" s="102"/>
      <c r="AF20" s="102"/>
      <c r="AG20" s="102"/>
      <c r="AH20" s="102"/>
      <c r="AI20" s="102"/>
      <c r="AJ20" s="102"/>
      <c r="AK20" s="102"/>
      <c r="AL20" s="102"/>
      <c r="AM20" s="102"/>
      <c r="AN20" s="102"/>
      <c r="AO20" s="102"/>
    </row>
    <row r="21" spans="1:41">
      <c r="A21" s="164">
        <v>8502190</v>
      </c>
      <c r="B21" s="550" t="s">
        <v>153</v>
      </c>
      <c r="C21" s="147" t="str">
        <f>VLOOKUP(RIGHT(A21,4)*1,APN!A:C,3,FALSE)</f>
        <v>Maintained</v>
      </c>
      <c r="D21" s="147" t="str">
        <f>VLOOKUP(A21,Data!$A$3:$I$81,9,FALSE)</f>
        <v>PRI</v>
      </c>
      <c r="E21" s="165">
        <f>VLOOKUP(A21,Data!A:E,5,FALSE)</f>
        <v>0</v>
      </c>
      <c r="F21" s="147" t="str">
        <f>VLOOKUP(A21,Data!$A$3:$J$81,10,FALSE)</f>
        <v>SEMH</v>
      </c>
      <c r="G21" s="147"/>
      <c r="H21" s="295"/>
      <c r="I21" s="604">
        <f>VLOOKUP(A21,Data!A:E,5,FALSE)*place</f>
        <v>0</v>
      </c>
      <c r="J21" s="609">
        <f>IFERROR(VLOOKUP(A21,'NOR Special Units'!$B:$AF,31,FALSE)*Values!$D$28,0)</f>
        <v>0</v>
      </c>
      <c r="K21" s="607">
        <f>VLOOKUP(A21,Data!A:E,5,FALSE)*legacy</f>
        <v>0</v>
      </c>
      <c r="L21" s="428" cm="1">
        <f t="array" ref="L21">INDEX(Values!$D$1:$D$985,MATCH(1,(Values!$B$1:$B$985=F21)*(Values!$C$1:$C$985=D21),0))*VLOOKUP(A21,Data!$A$1:$F$1029,6,FALSE)</f>
        <v>0</v>
      </c>
      <c r="M21" s="157">
        <f>(VLOOKUP(A21,Data!$A$3:$X$81,18,FALSE)*IF(D21="Pri",TACT_PRI,TACT_SEC))+(VLOOKUP(A21,Data!$A$3:$X$81,19,FALSE)*IF(D21="Pri",SIGN_PRI,SIGN_SEC))+(VLOOKUP(A21,Data!$A$3:$X$81,20,FALSE)*IF(D21="Pri",NA_PRI,NA_SEC))+(VLOOKUP(A21,Data!$A$3:$X$81,21,FALSE)*IF(D21="Pri",asd_pri,asd_sec))+(VLOOKUP(A21,Data!$A$3:$X$81,22,FALSE)*IF(D21="Pri",MLD_PRI,MLD_SEC)+VLOOKUP(A21,Data!$A$3:$X$81,23,FALSE)*IF(D21="Pri",SEMH_PRI,SEMH_SEC))+(VLOOKUP(A21,Data!$A$3:$X$81,24,FALSE)*IF(D21="Pri",SLCN_PRI,SLCN_SEC))</f>
        <v>0</v>
      </c>
      <c r="N21" s="157">
        <f>(VLOOKUP(A21,Data!$A$3:$AD$81,26,FALSE)*IF(D21="Pri",NA_PRI,NA_SEC))+(VLOOKUP(A21,Data!$A$3:$AD$81,27,FALSE)*IF(D21="Pri",asd_pri,asd_sec))+(VLOOKUP(A21,Data!$A$3:$AD$81,28,FALSE)*IF(D21="Pri",MLD_PRI,MLD_SEC)+VLOOKUP(A21,Data!$A$3:$AD$81,29,FALSE)*IF(D21="Pri",SEMH_PRI,SEMH_SEC))+(VLOOKUP(A21,Data!$A$3:$AD$81,30,FALSE)*IF(D21="Pri",SLCN_PRI,SLCN_SEC))</f>
        <v>0</v>
      </c>
      <c r="O21" s="304">
        <f t="shared" si="4"/>
        <v>0</v>
      </c>
      <c r="P21" s="159">
        <f t="shared" si="0"/>
        <v>0</v>
      </c>
      <c r="Q21" s="160">
        <f>VLOOKUP($A21,MFG!$A$7:$AC$85,29,FALSE)*VLOOKUP($A21,Data!$A$4:$E$81,5,FALSE)</f>
        <v>0</v>
      </c>
      <c r="R21" s="167">
        <f t="shared" si="5"/>
        <v>0</v>
      </c>
      <c r="S21" s="162"/>
      <c r="T21" s="255">
        <f>_xlfn.IFNA(VLOOKUP(A21,'2025-26 Budget Share'!$A$5:$W$62,17,FALSE),0)</f>
        <v>0</v>
      </c>
      <c r="U21" s="305">
        <f t="shared" si="1"/>
        <v>0</v>
      </c>
      <c r="V21" s="305">
        <f t="shared" si="2"/>
        <v>0</v>
      </c>
      <c r="W21" s="305">
        <f>_xlfn.IFNA(VLOOKUP(A21,'2025-26 Budget Share'!$A$5:$W$62,21,FALSE),0)</f>
        <v>0</v>
      </c>
      <c r="X21" s="256">
        <f t="shared" si="6"/>
        <v>0</v>
      </c>
      <c r="Y21" s="446">
        <f>_xlfn.XLOOKUP(A21,Data!$D$87:$D$164,Data!$F$87:$F$164)*'Budget Shares'!E21</f>
        <v>0</v>
      </c>
      <c r="Z21" s="163"/>
      <c r="AA21" s="163">
        <f t="shared" si="3"/>
        <v>0</v>
      </c>
      <c r="AB21" s="163"/>
      <c r="AC21" s="102"/>
      <c r="AD21" s="102"/>
      <c r="AE21" s="102"/>
      <c r="AF21" s="102"/>
      <c r="AG21" s="102"/>
      <c r="AH21" s="102"/>
      <c r="AI21" s="102"/>
      <c r="AJ21" s="102"/>
      <c r="AK21" s="102"/>
      <c r="AL21" s="102"/>
      <c r="AM21" s="102"/>
      <c r="AN21" s="102"/>
      <c r="AO21" s="102"/>
    </row>
    <row r="22" spans="1:41">
      <c r="A22" s="164">
        <v>8502206</v>
      </c>
      <c r="B22" s="549" t="s">
        <v>154</v>
      </c>
      <c r="C22" s="147" t="str">
        <f>VLOOKUP(RIGHT(A22,4)*1,APN!A:C,3,FALSE)</f>
        <v>Maintained</v>
      </c>
      <c r="D22" s="147" t="str">
        <f>VLOOKUP(A22,Data!$A$3:$I$81,9,FALSE)</f>
        <v>PRI</v>
      </c>
      <c r="E22" s="165">
        <f>VLOOKUP(A22,Data!A:E,5,FALSE)</f>
        <v>2.916666666666667</v>
      </c>
      <c r="F22" s="147" t="str">
        <f>VLOOKUP(A22,Data!$A$3:$J$81,10,FALSE)</f>
        <v>SEMH</v>
      </c>
      <c r="G22" s="147"/>
      <c r="H22" s="295"/>
      <c r="I22" s="604">
        <f>VLOOKUP(A22,Data!A:E,5,FALSE)*place</f>
        <v>17500</v>
      </c>
      <c r="J22" s="609">
        <f>IFERROR(VLOOKUP(A22,'NOR Special Units'!$B:$AF,31,FALSE)*Values!$D$28,0)</f>
        <v>11680</v>
      </c>
      <c r="K22" s="607">
        <f>VLOOKUP(A22,Data!A:E,5,FALSE)*legacy</f>
        <v>1595.3306146662503</v>
      </c>
      <c r="L22" s="428" cm="1">
        <f t="array" ref="L22">INDEX(Values!$D$1:$D$985,MATCH(1,(Values!$B$1:$B$985=F22)*(Values!$C$1:$C$985=D22),0))*VLOOKUP(A22,Data!$A$1:$F$1029,6,FALSE)</f>
        <v>37444.166666666664</v>
      </c>
      <c r="M22" s="157">
        <f>(VLOOKUP(A22,Data!$A$3:$X$81,18,FALSE)*IF(D22="Pri",TACT_PRI,TACT_SEC))+(VLOOKUP(A22,Data!$A$3:$X$81,19,FALSE)*IF(D22="Pri",SIGN_PRI,SIGN_SEC))+(VLOOKUP(A22,Data!$A$3:$X$81,20,FALSE)*IF(D22="Pri",NA_PRI,NA_SEC))+(VLOOKUP(A22,Data!$A$3:$X$81,21,FALSE)*IF(D22="Pri",asd_pri,asd_sec))+(VLOOKUP(A22,Data!$A$3:$X$81,22,FALSE)*IF(D22="Pri",MLD_PRI,MLD_SEC)+VLOOKUP(A22,Data!$A$3:$X$81,23,FALSE)*IF(D22="Pri",SEMH_PRI,SEMH_SEC))+(VLOOKUP(A22,Data!$A$3:$X$81,24,FALSE)*IF(D22="Pri",SLCN_PRI,SLCN_SEC))</f>
        <v>0</v>
      </c>
      <c r="N22" s="157">
        <f>(VLOOKUP(A22,Data!$A$3:$AD$81,26,FALSE)*IF(D22="Pri",NA_PRI,NA_SEC))+(VLOOKUP(A22,Data!$A$3:$AD$81,27,FALSE)*IF(D22="Pri",asd_pri,asd_sec))+(VLOOKUP(A22,Data!$A$3:$AD$81,28,FALSE)*IF(D22="Pri",MLD_PRI,MLD_SEC)+VLOOKUP(A22,Data!$A$3:$AD$81,29,FALSE)*IF(D22="Pri",SEMH_PRI,SEMH_SEC))+(VLOOKUP(A22,Data!$A$3:$AD$81,30,FALSE)*IF(D22="Pri",SLCN_PRI,SLCN_SEC))</f>
        <v>0</v>
      </c>
      <c r="O22" s="304">
        <f t="shared" si="4"/>
        <v>37444.166666666664</v>
      </c>
      <c r="P22" s="159">
        <f t="shared" si="0"/>
        <v>12837.999999999998</v>
      </c>
      <c r="Q22" s="160">
        <f>VLOOKUP($A22,MFG!$A$7:$AC$85,29,FALSE)*VLOOKUP($A22,Data!$A$4:$E$81,5,FALSE)</f>
        <v>0</v>
      </c>
      <c r="R22" s="167">
        <f t="shared" si="5"/>
        <v>37444.166666666664</v>
      </c>
      <c r="S22" s="162"/>
      <c r="T22" s="255">
        <f>_xlfn.IFNA(VLOOKUP(A22,'2025-26 Budget Share'!$A$5:$W$62,17,FALSE),0)</f>
        <v>0</v>
      </c>
      <c r="U22" s="305">
        <f t="shared" si="1"/>
        <v>37444.166666666664</v>
      </c>
      <c r="V22" s="305">
        <f t="shared" si="2"/>
        <v>12837.999999999998</v>
      </c>
      <c r="W22" s="305">
        <f>_xlfn.IFNA(VLOOKUP(A22,'2025-26 Budget Share'!$A$5:$W$62,21,FALSE),0)</f>
        <v>0</v>
      </c>
      <c r="X22" s="256">
        <f t="shared" si="6"/>
        <v>12837.999999999998</v>
      </c>
      <c r="Y22" s="446">
        <f>_xlfn.XLOOKUP(A22,Data!$D$87:$D$164,Data!$F$87:$F$164)*'Budget Shares'!E22</f>
        <v>1042.7400000000002</v>
      </c>
      <c r="Z22" s="163"/>
      <c r="AA22" s="163">
        <f t="shared" si="3"/>
        <v>0</v>
      </c>
      <c r="AB22" s="163"/>
      <c r="AC22" s="102"/>
      <c r="AD22" s="102"/>
      <c r="AE22" s="102"/>
      <c r="AF22" s="102"/>
      <c r="AG22" s="102"/>
      <c r="AH22" s="102"/>
      <c r="AI22" s="102"/>
      <c r="AJ22" s="102"/>
      <c r="AK22" s="102"/>
      <c r="AL22" s="102"/>
      <c r="AM22" s="102"/>
      <c r="AN22" s="102"/>
      <c r="AO22" s="102"/>
    </row>
    <row r="23" spans="1:41">
      <c r="A23" s="164">
        <v>8502220</v>
      </c>
      <c r="B23" s="306" t="s">
        <v>12</v>
      </c>
      <c r="C23" s="147" t="str">
        <f>VLOOKUP(RIGHT(A23,4)*1,APN!A:C,3,FALSE)</f>
        <v>Maintained</v>
      </c>
      <c r="D23" s="147" t="str">
        <f>VLOOKUP(A23,Data!$A$3:$I$81,9,FALSE)</f>
        <v>PRI</v>
      </c>
      <c r="E23" s="165">
        <f>VLOOKUP(A23,Data!A:E,5,FALSE)</f>
        <v>12</v>
      </c>
      <c r="F23" s="147" t="str">
        <f>VLOOKUP(A23,Data!$A$3:$J$81,10,FALSE)</f>
        <v>SLCN</v>
      </c>
      <c r="G23" s="147"/>
      <c r="H23" s="295"/>
      <c r="I23" s="604">
        <f>VLOOKUP(A23,Data!A:E,5,FALSE)*place</f>
        <v>72000</v>
      </c>
      <c r="J23" s="609">
        <f>IFERROR(VLOOKUP(A23,'NOR Special Units'!$B:$AF,31,FALSE)*Values!$D$28,0)</f>
        <v>12000</v>
      </c>
      <c r="K23" s="607">
        <f>VLOOKUP(A23,Data!A:E,5,FALSE)*legacy</f>
        <v>6563.645957484001</v>
      </c>
      <c r="L23" s="428" cm="1">
        <f t="array" ref="L23">INDEX(Values!$D$1:$D$985,MATCH(1,(Values!$B$1:$B$985=F23)*(Values!$C$1:$C$985=D23),0))*VLOOKUP(A23,Data!$A$1:$F$1029,6,FALSE)</f>
        <v>63072</v>
      </c>
      <c r="M23" s="157">
        <f>(VLOOKUP(A23,Data!$A$3:$X$81,18,FALSE)*IF(D23="Pri",TACT_PRI,TACT_SEC))+(VLOOKUP(A23,Data!$A$3:$X$81,19,FALSE)*IF(D23="Pri",SIGN_PRI,SIGN_SEC))+(VLOOKUP(A23,Data!$A$3:$X$81,20,FALSE)*IF(D23="Pri",NA_PRI,NA_SEC))+(VLOOKUP(A23,Data!$A$3:$X$81,21,FALSE)*IF(D23="Pri",asd_pri,asd_sec))+(VLOOKUP(A23,Data!$A$3:$X$81,22,FALSE)*IF(D23="Pri",MLD_PRI,MLD_SEC)+VLOOKUP(A23,Data!$A$3:$X$81,23,FALSE)*IF(D23="Pri",SEMH_PRI,SEMH_SEC))+(VLOOKUP(A23,Data!$A$3:$X$81,24,FALSE)*IF(D23="Pri",SLCN_PRI,SLCN_SEC))</f>
        <v>0</v>
      </c>
      <c r="N23" s="157">
        <f>(VLOOKUP(A23,Data!$A$3:$AD$81,26,FALSE)*IF(D23="Pri",NA_PRI,NA_SEC))+(VLOOKUP(A23,Data!$A$3:$AD$81,27,FALSE)*IF(D23="Pri",asd_pri,asd_sec))+(VLOOKUP(A23,Data!$A$3:$AD$81,28,FALSE)*IF(D23="Pri",MLD_PRI,MLD_SEC)+VLOOKUP(A23,Data!$A$3:$AD$81,29,FALSE)*IF(D23="Pri",SEMH_PRI,SEMH_SEC))+(VLOOKUP(A23,Data!$A$3:$AD$81,30,FALSE)*IF(D23="Pri",SLCN_PRI,SLCN_SEC))</f>
        <v>0</v>
      </c>
      <c r="O23" s="304">
        <f t="shared" si="4"/>
        <v>63072</v>
      </c>
      <c r="P23" s="159">
        <f t="shared" si="0"/>
        <v>5256</v>
      </c>
      <c r="Q23" s="160">
        <f>VLOOKUP($A23,MFG!$A$7:$AC$85,29,FALSE)*VLOOKUP($A23,Data!$A$4:$E$81,5,FALSE)</f>
        <v>7716</v>
      </c>
      <c r="R23" s="167">
        <f t="shared" si="5"/>
        <v>70788</v>
      </c>
      <c r="S23" s="162"/>
      <c r="T23" s="255">
        <f>_xlfn.IFNA(VLOOKUP(A23,'2025-26 Budget Share'!$A$5:$W$62,17,FALSE),0)</f>
        <v>70788</v>
      </c>
      <c r="U23" s="305">
        <f t="shared" si="1"/>
        <v>0</v>
      </c>
      <c r="V23" s="305">
        <f t="shared" si="2"/>
        <v>5899</v>
      </c>
      <c r="W23" s="305">
        <f>_xlfn.IFNA(VLOOKUP(A23,'2025-26 Budget Share'!$A$5:$W$62,21,FALSE),0)</f>
        <v>5899</v>
      </c>
      <c r="X23" s="256">
        <f t="shared" si="6"/>
        <v>0</v>
      </c>
      <c r="Y23" s="446">
        <f>_xlfn.XLOOKUP(A23,Data!$D$87:$D$164,Data!$F$87:$F$164)*'Budget Shares'!E23</f>
        <v>4246.5600000000004</v>
      </c>
      <c r="Z23" s="163"/>
      <c r="AA23" s="163">
        <f t="shared" si="3"/>
        <v>643</v>
      </c>
      <c r="AB23" s="163"/>
      <c r="AC23" s="102"/>
      <c r="AD23" s="102"/>
      <c r="AE23" s="102"/>
      <c r="AF23" s="102"/>
      <c r="AG23" s="102"/>
      <c r="AH23" s="102"/>
      <c r="AI23" s="102"/>
      <c r="AJ23" s="102"/>
      <c r="AK23" s="102"/>
      <c r="AL23" s="102"/>
      <c r="AM23" s="102"/>
      <c r="AN23" s="102"/>
      <c r="AO23" s="102"/>
    </row>
    <row r="24" spans="1:41">
      <c r="A24" s="164">
        <v>8502228</v>
      </c>
      <c r="B24" s="306" t="s">
        <v>13</v>
      </c>
      <c r="C24" s="147" t="str">
        <f>VLOOKUP(RIGHT(A24,4)*1,APN!A:C,3,FALSE)</f>
        <v>Maintained</v>
      </c>
      <c r="D24" s="147" t="str">
        <f>VLOOKUP(A24,Data!$A$3:$I$81,9,FALSE)</f>
        <v>PRI</v>
      </c>
      <c r="E24" s="165">
        <f>VLOOKUP(A24,Data!A:E,5,FALSE)</f>
        <v>22</v>
      </c>
      <c r="F24" s="147" t="str">
        <f>VLOOKUP(A24,Data!$A$3:$J$81,10,FALSE)</f>
        <v>SLCN</v>
      </c>
      <c r="G24" s="147" t="s">
        <v>143</v>
      </c>
      <c r="H24" s="295"/>
      <c r="I24" s="604">
        <f>VLOOKUP(A24,Data!A:E,5,FALSE)*place</f>
        <v>132000</v>
      </c>
      <c r="J24" s="609">
        <f>IFERROR(VLOOKUP(A24,'NOR Special Units'!$B:$AF,31,FALSE)*Values!$D$28,0)</f>
        <v>0</v>
      </c>
      <c r="K24" s="607">
        <f>VLOOKUP(A24,Data!A:E,5,FALSE)*legacy</f>
        <v>12033.350922054002</v>
      </c>
      <c r="L24" s="428" cm="1">
        <f t="array" ref="L24">INDEX(Values!$D$1:$D$985,MATCH(1,(Values!$B$1:$B$985=F24)*(Values!$C$1:$C$985=D24),0))*VLOOKUP(A24,Data!$A$1:$F$1029,6,FALSE)</f>
        <v>68328</v>
      </c>
      <c r="M24" s="157">
        <f>(VLOOKUP(A24,Data!$A$3:$X$81,18,FALSE)*IF(D24="Pri",TACT_PRI,TACT_SEC))+(VLOOKUP(A24,Data!$A$3:$X$81,19,FALSE)*IF(D24="Pri",SIGN_PRI,SIGN_SEC))+(VLOOKUP(A24,Data!$A$3:$X$81,20,FALSE)*IF(D24="Pri",NA_PRI,NA_SEC))+(VLOOKUP(A24,Data!$A$3:$X$81,21,FALSE)*IF(D24="Pri",asd_pri,asd_sec))+(VLOOKUP(A24,Data!$A$3:$X$81,22,FALSE)*IF(D24="Pri",MLD_PRI,MLD_SEC)+VLOOKUP(A24,Data!$A$3:$X$81,23,FALSE)*IF(D24="Pri",SEMH_PRI,SEMH_SEC))+(VLOOKUP(A24,Data!$A$3:$X$81,24,FALSE)*IF(D24="Pri",SLCN_PRI,SLCN_SEC))</f>
        <v>13806</v>
      </c>
      <c r="N24" s="157">
        <f>(VLOOKUP(A24,Data!$A$3:$AD$81,26,FALSE)*IF(D24="Pri",NA_PRI,NA_SEC))+(VLOOKUP(A24,Data!$A$3:$AD$81,27,FALSE)*IF(D24="Pri",asd_pri,asd_sec))+(VLOOKUP(A24,Data!$A$3:$AD$81,28,FALSE)*IF(D24="Pri",MLD_PRI,MLD_SEC)+VLOOKUP(A24,Data!$A$3:$AD$81,29,FALSE)*IF(D24="Pri",SEMH_PRI,SEMH_SEC))+(VLOOKUP(A24,Data!$A$3:$AD$81,30,FALSE)*IF(D24="Pri",SLCN_PRI,SLCN_SEC))</f>
        <v>0</v>
      </c>
      <c r="O24" s="304">
        <f t="shared" si="4"/>
        <v>82134</v>
      </c>
      <c r="P24" s="159">
        <f t="shared" si="0"/>
        <v>3733.3636363636365</v>
      </c>
      <c r="Q24" s="160">
        <f>VLOOKUP($A24,MFG!$A$7:$AC$85,29,FALSE)*VLOOKUP($A24,Data!$A$4:$E$81,5,FALSE)</f>
        <v>0</v>
      </c>
      <c r="R24" s="167">
        <f t="shared" si="5"/>
        <v>82134</v>
      </c>
      <c r="S24" s="162"/>
      <c r="T24" s="255">
        <f>_xlfn.IFNA(VLOOKUP(A24,'2025-26 Budget Share'!$A$5:$W$62,17,FALSE),0)</f>
        <v>77723</v>
      </c>
      <c r="U24" s="305">
        <f t="shared" si="1"/>
        <v>4411</v>
      </c>
      <c r="V24" s="305">
        <f t="shared" si="2"/>
        <v>3733.3636363636365</v>
      </c>
      <c r="W24" s="305">
        <f>_xlfn.IFNA(VLOOKUP(A24,'2025-26 Budget Share'!$A$5:$W$62,21,FALSE),0)</f>
        <v>3532.8636363636365</v>
      </c>
      <c r="X24" s="256">
        <f t="shared" si="6"/>
        <v>200.5</v>
      </c>
      <c r="Y24" s="446">
        <f>_xlfn.XLOOKUP(A24,Data!$D$87:$D$164,Data!$F$87:$F$164)*'Budget Shares'!E24</f>
        <v>7444.36</v>
      </c>
      <c r="Z24" s="163"/>
      <c r="AA24" s="163">
        <f t="shared" si="3"/>
        <v>0</v>
      </c>
      <c r="AB24" s="163"/>
      <c r="AC24" s="102"/>
      <c r="AD24" s="102"/>
      <c r="AE24" s="102"/>
      <c r="AF24" s="102"/>
      <c r="AG24" s="102"/>
      <c r="AH24" s="102"/>
      <c r="AI24" s="102"/>
      <c r="AJ24" s="102"/>
      <c r="AK24" s="102"/>
      <c r="AL24" s="102"/>
      <c r="AM24" s="102"/>
      <c r="AN24" s="102"/>
      <c r="AO24" s="102"/>
    </row>
    <row r="25" spans="1:41">
      <c r="A25" s="164">
        <v>8502237</v>
      </c>
      <c r="B25" s="306" t="s">
        <v>14</v>
      </c>
      <c r="C25" s="147" t="str">
        <f>VLOOKUP(RIGHT(A25,4)*1,APN!A:C,3,FALSE)</f>
        <v>Maintained</v>
      </c>
      <c r="D25" s="147" t="str">
        <f>VLOOKUP(A25,Data!$A$3:$I$81,9,FALSE)</f>
        <v>PRI</v>
      </c>
      <c r="E25" s="165">
        <f>VLOOKUP(A25,Data!A:E,5,FALSE)</f>
        <v>8.5</v>
      </c>
      <c r="F25" s="147" t="str">
        <f>VLOOKUP(A25,Data!$A$3:$J$81,10,FALSE)</f>
        <v>SLCN</v>
      </c>
      <c r="G25" s="551"/>
      <c r="H25" s="295"/>
      <c r="I25" s="604">
        <f>VLOOKUP(A25,Data!A:E,5,FALSE)*place</f>
        <v>51000</v>
      </c>
      <c r="J25" s="609">
        <f>IFERROR(VLOOKUP(A25,'NOR Special Units'!$B:$AF,31,FALSE)*Values!$D$28,0)</f>
        <v>0</v>
      </c>
      <c r="K25" s="607">
        <f>VLOOKUP(A25,Data!A:E,5,FALSE)*legacy</f>
        <v>4649.2492198845011</v>
      </c>
      <c r="L25" s="428" cm="1">
        <f t="array" ref="L25">INDEX(Values!$D$1:$D$985,MATCH(1,(Values!$B$1:$B$985=F25)*(Values!$C$1:$C$985=D25),0))*VLOOKUP(A25,Data!$A$1:$F$1029,6,FALSE)</f>
        <v>44676</v>
      </c>
      <c r="M25" s="157">
        <f>(VLOOKUP(A25,Data!$A$3:$X$81,18,FALSE)*IF(D25="Pri",TACT_PRI,TACT_SEC))+(VLOOKUP(A25,Data!$A$3:$X$81,19,FALSE)*IF(D25="Pri",SIGN_PRI,SIGN_SEC))+(VLOOKUP(A25,Data!$A$3:$X$81,20,FALSE)*IF(D25="Pri",NA_PRI,NA_SEC))+(VLOOKUP(A25,Data!$A$3:$X$81,21,FALSE)*IF(D25="Pri",asd_pri,asd_sec))+(VLOOKUP(A25,Data!$A$3:$X$81,22,FALSE)*IF(D25="Pri",MLD_PRI,MLD_SEC)+VLOOKUP(A25,Data!$A$3:$X$81,23,FALSE)*IF(D25="Pri",SEMH_PRI,SEMH_SEC))+(VLOOKUP(A25,Data!$A$3:$X$81,24,FALSE)*IF(D25="Pri",SLCN_PRI,SLCN_SEC))</f>
        <v>0</v>
      </c>
      <c r="N25" s="157">
        <f>(VLOOKUP(A25,Data!$A$3:$AD$81,26,FALSE)*IF(D25="Pri",NA_PRI,NA_SEC))+(VLOOKUP(A25,Data!$A$3:$AD$81,27,FALSE)*IF(D25="Pri",asd_pri,asd_sec))+(VLOOKUP(A25,Data!$A$3:$AD$81,28,FALSE)*IF(D25="Pri",MLD_PRI,MLD_SEC)+VLOOKUP(A25,Data!$A$3:$AD$81,29,FALSE)*IF(D25="Pri",SEMH_PRI,SEMH_SEC))+(VLOOKUP(A25,Data!$A$3:$AD$81,30,FALSE)*IF(D25="Pri",SLCN_PRI,SLCN_SEC))</f>
        <v>0</v>
      </c>
      <c r="O25" s="304">
        <f t="shared" si="4"/>
        <v>44676</v>
      </c>
      <c r="P25" s="159">
        <f t="shared" si="0"/>
        <v>5256</v>
      </c>
      <c r="Q25" s="160">
        <f>VLOOKUP($A25,MFG!$A$7:$AC$85,29,FALSE)*VLOOKUP($A25,Data!$A$4:$E$81,5,FALSE)</f>
        <v>0</v>
      </c>
      <c r="R25" s="167">
        <f t="shared" si="5"/>
        <v>44676</v>
      </c>
      <c r="S25" s="162"/>
      <c r="T25" s="255">
        <f>_xlfn.IFNA(VLOOKUP(A25,'2025-26 Budget Share'!$A$5:$W$62,17,FALSE),0)</f>
        <v>60288</v>
      </c>
      <c r="U25" s="305">
        <f t="shared" si="1"/>
        <v>-15612</v>
      </c>
      <c r="V25" s="305">
        <f t="shared" si="2"/>
        <v>5256</v>
      </c>
      <c r="W25" s="305">
        <f>_xlfn.IFNA(VLOOKUP(A25,'2025-26 Budget Share'!$A$5:$W$62,21,FALSE),0)</f>
        <v>5024</v>
      </c>
      <c r="X25" s="256">
        <f t="shared" si="6"/>
        <v>232</v>
      </c>
      <c r="Y25" s="446">
        <f>_xlfn.XLOOKUP(A25,Data!$D$87:$D$164,Data!$F$87:$F$164)*'Budget Shares'!E25</f>
        <v>3007.98</v>
      </c>
      <c r="Z25" s="163"/>
      <c r="AA25" s="163">
        <f t="shared" si="3"/>
        <v>0</v>
      </c>
      <c r="AB25" s="163"/>
      <c r="AC25" s="102"/>
      <c r="AD25" s="102"/>
      <c r="AE25" s="102"/>
      <c r="AF25" s="102"/>
      <c r="AG25" s="102"/>
      <c r="AH25" s="102"/>
      <c r="AI25" s="102"/>
      <c r="AJ25" s="102"/>
      <c r="AK25" s="102"/>
      <c r="AL25" s="102"/>
      <c r="AM25" s="102"/>
      <c r="AN25" s="102"/>
      <c r="AO25" s="102"/>
    </row>
    <row r="26" spans="1:41">
      <c r="A26" s="164">
        <v>8502266</v>
      </c>
      <c r="B26" s="549" t="s">
        <v>155</v>
      </c>
      <c r="C26" s="147" t="str">
        <f>VLOOKUP(RIGHT(A26,4)*1,APN!A:C,3,FALSE)</f>
        <v>Maintained</v>
      </c>
      <c r="D26" s="147" t="str">
        <f>VLOOKUP(A26,Data!$A$3:$I$81,9,FALSE)</f>
        <v>PRI</v>
      </c>
      <c r="E26" s="165">
        <f>VLOOKUP(A26,Data!A:E,5,FALSE)</f>
        <v>3.5</v>
      </c>
      <c r="F26" s="147" t="str">
        <f>VLOOKUP(A26,Data!$A$3:$J$81,10,FALSE)</f>
        <v>ASC</v>
      </c>
      <c r="G26" s="147"/>
      <c r="H26" s="295"/>
      <c r="I26" s="604">
        <f>VLOOKUP(A26,Data!A:E,5,FALSE)*place</f>
        <v>21000</v>
      </c>
      <c r="J26" s="609">
        <f>IFERROR(VLOOKUP(A26,'NOR Special Units'!$B:$AF,31,FALSE)*Values!$D$28,0)</f>
        <v>14000</v>
      </c>
      <c r="K26" s="607">
        <f>VLOOKUP(A26,Data!A:E,5,FALSE)*legacy</f>
        <v>1914.3967375995003</v>
      </c>
      <c r="L26" s="428" cm="1">
        <f t="array" ref="L26">INDEX(Values!$D$1:$D$985,MATCH(1,(Values!$B$1:$B$985=F26)*(Values!$C$1:$C$985=D26),0))*VLOOKUP(A26,Data!$A$1:$F$1029,6,FALSE)</f>
        <v>38878</v>
      </c>
      <c r="M26" s="157">
        <f>(VLOOKUP(A26,Data!$A$3:$X$81,18,FALSE)*IF(D26="Pri",TACT_PRI,TACT_SEC))+(VLOOKUP(A26,Data!$A$3:$X$81,19,FALSE)*IF(D26="Pri",SIGN_PRI,SIGN_SEC))+(VLOOKUP(A26,Data!$A$3:$X$81,20,FALSE)*IF(D26="Pri",NA_PRI,NA_SEC))+(VLOOKUP(A26,Data!$A$3:$X$81,21,FALSE)*IF(D26="Pri",asd_pri,asd_sec))+(VLOOKUP(A26,Data!$A$3:$X$81,22,FALSE)*IF(D26="Pri",MLD_PRI,MLD_SEC)+VLOOKUP(A26,Data!$A$3:$X$81,23,FALSE)*IF(D26="Pri",SEMH_PRI,SEMH_SEC))+(VLOOKUP(A26,Data!$A$3:$X$81,24,FALSE)*IF(D26="Pri",SLCN_PRI,SLCN_SEC))</f>
        <v>0</v>
      </c>
      <c r="N26" s="157">
        <f>(VLOOKUP(A26,Data!$A$3:$AD$81,26,FALSE)*IF(D26="Pri",NA_PRI,NA_SEC))+(VLOOKUP(A26,Data!$A$3:$AD$81,27,FALSE)*IF(D26="Pri",asd_pri,asd_sec))+(VLOOKUP(A26,Data!$A$3:$AD$81,28,FALSE)*IF(D26="Pri",MLD_PRI,MLD_SEC)+VLOOKUP(A26,Data!$A$3:$AD$81,29,FALSE)*IF(D26="Pri",SEMH_PRI,SEMH_SEC))+(VLOOKUP(A26,Data!$A$3:$AD$81,30,FALSE)*IF(D26="Pri",SLCN_PRI,SLCN_SEC))</f>
        <v>0</v>
      </c>
      <c r="O26" s="304">
        <f t="shared" si="4"/>
        <v>38878</v>
      </c>
      <c r="P26" s="159">
        <f t="shared" si="0"/>
        <v>11108</v>
      </c>
      <c r="Q26" s="160">
        <f>VLOOKUP($A26,MFG!$A$7:$AC$85,29,FALSE)*VLOOKUP($A26,Data!$A$4:$E$81,5,FALSE)</f>
        <v>0</v>
      </c>
      <c r="R26" s="167">
        <f t="shared" si="5"/>
        <v>38878</v>
      </c>
      <c r="S26" s="162"/>
      <c r="T26" s="255">
        <f>_xlfn.IFNA(VLOOKUP(A26,'2025-26 Budget Share'!$A$5:$W$62,17,FALSE),0)</f>
        <v>0</v>
      </c>
      <c r="U26" s="305">
        <f t="shared" si="1"/>
        <v>38878</v>
      </c>
      <c r="V26" s="305">
        <f t="shared" si="2"/>
        <v>11108</v>
      </c>
      <c r="W26" s="305">
        <f>_xlfn.IFNA(VLOOKUP(A26,'2025-26 Budget Share'!$A$5:$W$62,21,FALSE),0)</f>
        <v>0</v>
      </c>
      <c r="X26" s="256">
        <f t="shared" si="6"/>
        <v>11108</v>
      </c>
      <c r="Y26" s="446">
        <f>_xlfn.XLOOKUP(A26,Data!$D$87:$D$164,Data!$F$87:$F$164)*'Budget Shares'!E26</f>
        <v>1882.58</v>
      </c>
      <c r="Z26" s="163"/>
      <c r="AA26" s="163">
        <f t="shared" si="3"/>
        <v>0</v>
      </c>
      <c r="AB26" s="163"/>
      <c r="AC26" s="102"/>
      <c r="AD26" s="102"/>
      <c r="AE26" s="102"/>
      <c r="AF26" s="102"/>
      <c r="AG26" s="102"/>
      <c r="AH26" s="102"/>
      <c r="AI26" s="102"/>
      <c r="AJ26" s="102"/>
      <c r="AK26" s="102"/>
      <c r="AL26" s="102"/>
      <c r="AM26" s="102"/>
      <c r="AN26" s="102"/>
      <c r="AO26" s="102"/>
    </row>
    <row r="27" spans="1:41">
      <c r="A27" s="164">
        <v>8502270</v>
      </c>
      <c r="B27" s="306" t="s">
        <v>156</v>
      </c>
      <c r="C27" s="147" t="str">
        <f>VLOOKUP(RIGHT(A27,4)*1,APN!A:C,3,FALSE)</f>
        <v>Maintained</v>
      </c>
      <c r="D27" s="147" t="str">
        <f>VLOOKUP(A27,Data!$A$3:$I$81,9,FALSE)</f>
        <v>PRI</v>
      </c>
      <c r="E27" s="165">
        <f>VLOOKUP(A27,Data!A:E,5,FALSE)</f>
        <v>6.1666666666666679</v>
      </c>
      <c r="F27" s="147" t="str">
        <f>VLOOKUP(A27,Data!$A$3:$J$81,10,FALSE)</f>
        <v>ASC</v>
      </c>
      <c r="G27" s="147"/>
      <c r="H27" s="295"/>
      <c r="I27" s="604">
        <f>VLOOKUP(A27,Data!A:E,5,FALSE)*place</f>
        <v>37000.000000000007</v>
      </c>
      <c r="J27" s="609">
        <f>IFERROR(VLOOKUP(A27,'NOR Special Units'!$B:$AF,31,FALSE)*Values!$D$28,0)</f>
        <v>4666.6666666666642</v>
      </c>
      <c r="K27" s="607">
        <f>VLOOKUP(A27,Data!A:E,5,FALSE)*legacy</f>
        <v>3372.9847281515013</v>
      </c>
      <c r="L27" s="428" cm="1">
        <f t="array" ref="L27">INDEX(Values!$D$1:$D$985,MATCH(1,(Values!$B$1:$B$985=F27)*(Values!$C$1:$C$985=D27),0))*VLOOKUP(A27,Data!$A$1:$F$1029,6,FALSE)</f>
        <v>68499.333333333328</v>
      </c>
      <c r="M27" s="157">
        <f>(VLOOKUP(A27,Data!$A$3:$X$81,18,FALSE)*IF(D27="Pri",TACT_PRI,TACT_SEC))+(VLOOKUP(A27,Data!$A$3:$X$81,19,FALSE)*IF(D27="Pri",SIGN_PRI,SIGN_SEC))+(VLOOKUP(A27,Data!$A$3:$X$81,20,FALSE)*IF(D27="Pri",NA_PRI,NA_SEC))+(VLOOKUP(A27,Data!$A$3:$X$81,21,FALSE)*IF(D27="Pri",asd_pri,asd_sec))+(VLOOKUP(A27,Data!$A$3:$X$81,22,FALSE)*IF(D27="Pri",MLD_PRI,MLD_SEC)+VLOOKUP(A27,Data!$A$3:$X$81,23,FALSE)*IF(D27="Pri",SEMH_PRI,SEMH_SEC))+(VLOOKUP(A27,Data!$A$3:$X$81,24,FALSE)*IF(D27="Pri",SLCN_PRI,SLCN_SEC))</f>
        <v>0</v>
      </c>
      <c r="N27" s="157">
        <f>(VLOOKUP(A27,Data!$A$3:$AD$81,26,FALSE)*IF(D27="Pri",NA_PRI,NA_SEC))+(VLOOKUP(A27,Data!$A$3:$AD$81,27,FALSE)*IF(D27="Pri",asd_pri,asd_sec))+(VLOOKUP(A27,Data!$A$3:$AD$81,28,FALSE)*IF(D27="Pri",MLD_PRI,MLD_SEC)+VLOOKUP(A27,Data!$A$3:$AD$81,29,FALSE)*IF(D27="Pri",SEMH_PRI,SEMH_SEC))+(VLOOKUP(A27,Data!$A$3:$AD$81,30,FALSE)*IF(D27="Pri",SLCN_PRI,SLCN_SEC))</f>
        <v>0</v>
      </c>
      <c r="O27" s="304">
        <f t="shared" ref="O27:O29" si="19">L27+M27+N27</f>
        <v>68499.333333333328</v>
      </c>
      <c r="P27" s="159">
        <f t="shared" si="0"/>
        <v>11107.999999999996</v>
      </c>
      <c r="Q27" s="160">
        <f>VLOOKUP($A27,MFG!$A$7:$AC$85,29,FALSE)*VLOOKUP($A27,Data!$A$4:$E$81,5,FALSE)</f>
        <v>0</v>
      </c>
      <c r="R27" s="167">
        <f t="shared" ref="R27:R29" si="20">O27+Q27</f>
        <v>68499.333333333328</v>
      </c>
      <c r="S27" s="162"/>
      <c r="T27" s="255">
        <f>_xlfn.IFNA(VLOOKUP(A27,'2025-26 Budget Share'!$A$5:$W$62,17,FALSE),0)</f>
        <v>31371.666666666664</v>
      </c>
      <c r="U27" s="305">
        <f t="shared" ref="U27:U29" si="21">R27-T27</f>
        <v>37127.666666666664</v>
      </c>
      <c r="V27" s="305">
        <f t="shared" si="2"/>
        <v>11107.999999999996</v>
      </c>
      <c r="W27" s="305">
        <f>_xlfn.IFNA(VLOOKUP(A27,'2025-26 Budget Share'!$A$5:$W$62,21,FALSE),0)</f>
        <v>10755.999999999998</v>
      </c>
      <c r="X27" s="256">
        <f t="shared" ref="X27:X29" si="22">V27-W27</f>
        <v>351.99999999999818</v>
      </c>
      <c r="Y27" s="446">
        <f>_xlfn.XLOOKUP(A27,Data!$D$87:$D$164,Data!$F$87:$F$164)*'Budget Shares'!E27</f>
        <v>3316.9300000000007</v>
      </c>
      <c r="Z27" s="163"/>
      <c r="AA27" s="163">
        <f t="shared" si="3"/>
        <v>0</v>
      </c>
      <c r="AB27" s="163"/>
      <c r="AC27" s="102"/>
      <c r="AD27" s="102"/>
      <c r="AE27" s="102"/>
      <c r="AF27" s="102"/>
      <c r="AG27" s="102"/>
      <c r="AH27" s="102"/>
      <c r="AI27" s="102"/>
      <c r="AJ27" s="102"/>
      <c r="AK27" s="102"/>
      <c r="AL27" s="102"/>
      <c r="AM27" s="102"/>
      <c r="AN27" s="102"/>
      <c r="AO27" s="102"/>
    </row>
    <row r="28" spans="1:41">
      <c r="A28" s="164">
        <v>8502272</v>
      </c>
      <c r="B28" s="549" t="s">
        <v>157</v>
      </c>
      <c r="C28" s="147" t="str">
        <f>VLOOKUP(RIGHT(A28,4)*1,APN!A:C,3,FALSE)</f>
        <v>Maintained</v>
      </c>
      <c r="D28" s="147" t="str">
        <f>VLOOKUP(A28,Data!$A$3:$I$81,9,FALSE)</f>
        <v>PRI</v>
      </c>
      <c r="E28" s="165">
        <f>VLOOKUP(A28,Data!A:E,5,FALSE)</f>
        <v>0</v>
      </c>
      <c r="F28" s="147" t="str">
        <f>VLOOKUP(A28,Data!$A$3:$J$81,10,FALSE)</f>
        <v>ASC</v>
      </c>
      <c r="G28" s="147"/>
      <c r="H28" s="295"/>
      <c r="I28" s="604">
        <f>VLOOKUP(A28,Data!A:E,5,FALSE)*place</f>
        <v>0</v>
      </c>
      <c r="J28" s="609">
        <f>IFERROR(VLOOKUP(A28,'NOR Special Units'!$B:$AF,31,FALSE)*Values!$D$28,0)</f>
        <v>0</v>
      </c>
      <c r="K28" s="607">
        <f>VLOOKUP(A28,Data!A:E,5,FALSE)*legacy</f>
        <v>0</v>
      </c>
      <c r="L28" s="428" cm="1">
        <f t="array" ref="L28">INDEX(Values!$D$1:$D$985,MATCH(1,(Values!$B$1:$B$985=F28)*(Values!$C$1:$C$985=D28),0))*VLOOKUP(A28,Data!$A$1:$F$1029,6,FALSE)</f>
        <v>0</v>
      </c>
      <c r="M28" s="157">
        <f>(VLOOKUP(A28,Data!$A$3:$X$81,18,FALSE)*IF(D28="Pri",TACT_PRI,TACT_SEC))+(VLOOKUP(A28,Data!$A$3:$X$81,19,FALSE)*IF(D28="Pri",SIGN_PRI,SIGN_SEC))+(VLOOKUP(A28,Data!$A$3:$X$81,20,FALSE)*IF(D28="Pri",NA_PRI,NA_SEC))+(VLOOKUP(A28,Data!$A$3:$X$81,21,FALSE)*IF(D28="Pri",asd_pri,asd_sec))+(VLOOKUP(A28,Data!$A$3:$X$81,22,FALSE)*IF(D28="Pri",MLD_PRI,MLD_SEC)+VLOOKUP(A28,Data!$A$3:$X$81,23,FALSE)*IF(D28="Pri",SEMH_PRI,SEMH_SEC))+(VLOOKUP(A28,Data!$A$3:$X$81,24,FALSE)*IF(D28="Pri",SLCN_PRI,SLCN_SEC))</f>
        <v>0</v>
      </c>
      <c r="N28" s="157">
        <f>(VLOOKUP(A28,Data!$A$3:$AD$81,26,FALSE)*IF(D28="Pri",NA_PRI,NA_SEC))+(VLOOKUP(A28,Data!$A$3:$AD$81,27,FALSE)*IF(D28="Pri",asd_pri,asd_sec))+(VLOOKUP(A28,Data!$A$3:$AD$81,28,FALSE)*IF(D28="Pri",MLD_PRI,MLD_SEC)+VLOOKUP(A28,Data!$A$3:$AD$81,29,FALSE)*IF(D28="Pri",SEMH_PRI,SEMH_SEC))+(VLOOKUP(A28,Data!$A$3:$AD$81,30,FALSE)*IF(D28="Pri",SLCN_PRI,SLCN_SEC))</f>
        <v>0</v>
      </c>
      <c r="O28" s="304">
        <f t="shared" si="19"/>
        <v>0</v>
      </c>
      <c r="P28" s="159">
        <f t="shared" si="0"/>
        <v>0</v>
      </c>
      <c r="Q28" s="160">
        <f>VLOOKUP($A28,MFG!$A$7:$AC$85,29,FALSE)*VLOOKUP($A28,Data!$A$4:$E$81,5,FALSE)</f>
        <v>0</v>
      </c>
      <c r="R28" s="167">
        <f t="shared" si="20"/>
        <v>0</v>
      </c>
      <c r="S28" s="162"/>
      <c r="T28" s="255">
        <f>_xlfn.IFNA(VLOOKUP(A28,'2025-26 Budget Share'!$A$5:$W$62,17,FALSE),0)</f>
        <v>0</v>
      </c>
      <c r="U28" s="305">
        <f t="shared" si="21"/>
        <v>0</v>
      </c>
      <c r="V28" s="305">
        <f t="shared" si="2"/>
        <v>0</v>
      </c>
      <c r="W28" s="305">
        <f>_xlfn.IFNA(VLOOKUP(A28,'2025-26 Budget Share'!$A$5:$W$62,21,FALSE),0)</f>
        <v>0</v>
      </c>
      <c r="X28" s="256">
        <f t="shared" si="22"/>
        <v>0</v>
      </c>
      <c r="Y28" s="446">
        <f>_xlfn.XLOOKUP(A28,Data!$D$87:$D$164,Data!$F$87:$F$164)*'Budget Shares'!E28</f>
        <v>0</v>
      </c>
      <c r="Z28" s="163"/>
      <c r="AA28" s="163">
        <f t="shared" si="3"/>
        <v>0</v>
      </c>
      <c r="AB28" s="163"/>
      <c r="AC28" s="102"/>
      <c r="AD28" s="102"/>
      <c r="AE28" s="102"/>
      <c r="AF28" s="102"/>
      <c r="AG28" s="102"/>
      <c r="AH28" s="102"/>
      <c r="AI28" s="102"/>
      <c r="AJ28" s="102"/>
      <c r="AK28" s="102"/>
      <c r="AL28" s="102"/>
      <c r="AM28" s="102"/>
      <c r="AN28" s="102"/>
      <c r="AO28" s="102"/>
    </row>
    <row r="29" spans="1:41">
      <c r="A29" s="164">
        <v>8502274</v>
      </c>
      <c r="B29" s="549" t="s">
        <v>158</v>
      </c>
      <c r="C29" s="147" t="str">
        <f>VLOOKUP(RIGHT(A29,4)*1,APN!A:C,3,FALSE)</f>
        <v>Maintained</v>
      </c>
      <c r="D29" s="147" t="str">
        <f>VLOOKUP(A29,Data!$A$3:$I$81,9,FALSE)</f>
        <v>PRI</v>
      </c>
      <c r="E29" s="165">
        <f>VLOOKUP(A29,Data!A:E,5,FALSE)</f>
        <v>0</v>
      </c>
      <c r="F29" s="147" t="str">
        <f>VLOOKUP(A29,Data!$A$3:$J$81,10,FALSE)</f>
        <v>SEMH</v>
      </c>
      <c r="G29" s="147"/>
      <c r="H29" s="295"/>
      <c r="I29" s="604">
        <f>VLOOKUP(A29,Data!A:E,5,FALSE)*place</f>
        <v>0</v>
      </c>
      <c r="J29" s="609">
        <f>IFERROR(VLOOKUP(A29,'NOR Special Units'!$B:$AF,31,FALSE)*Values!$D$28,0)</f>
        <v>0</v>
      </c>
      <c r="K29" s="607">
        <f>VLOOKUP(A29,Data!A:E,5,FALSE)*legacy</f>
        <v>0</v>
      </c>
      <c r="L29" s="428" cm="1">
        <f t="array" ref="L29">INDEX(Values!$D$1:$D$985,MATCH(1,(Values!$B$1:$B$985=F29)*(Values!$C$1:$C$985=D29),0))*VLOOKUP(A29,Data!$A$1:$F$1029,6,FALSE)</f>
        <v>0</v>
      </c>
      <c r="M29" s="157">
        <f>(VLOOKUP(A29,Data!$A$3:$X$81,18,FALSE)*IF(D29="Pri",TACT_PRI,TACT_SEC))+(VLOOKUP(A29,Data!$A$3:$X$81,19,FALSE)*IF(D29="Pri",SIGN_PRI,SIGN_SEC))+(VLOOKUP(A29,Data!$A$3:$X$81,20,FALSE)*IF(D29="Pri",NA_PRI,NA_SEC))+(VLOOKUP(A29,Data!$A$3:$X$81,21,FALSE)*IF(D29="Pri",asd_pri,asd_sec))+(VLOOKUP(A29,Data!$A$3:$X$81,22,FALSE)*IF(D29="Pri",MLD_PRI,MLD_SEC)+VLOOKUP(A29,Data!$A$3:$X$81,23,FALSE)*IF(D29="Pri",SEMH_PRI,SEMH_SEC))+(VLOOKUP(A29,Data!$A$3:$X$81,24,FALSE)*IF(D29="Pri",SLCN_PRI,SLCN_SEC))</f>
        <v>0</v>
      </c>
      <c r="N29" s="157">
        <f>(VLOOKUP(A29,Data!$A$3:$AD$81,26,FALSE)*IF(D29="Pri",NA_PRI,NA_SEC))+(VLOOKUP(A29,Data!$A$3:$AD$81,27,FALSE)*IF(D29="Pri",asd_pri,asd_sec))+(VLOOKUP(A29,Data!$A$3:$AD$81,28,FALSE)*IF(D29="Pri",MLD_PRI,MLD_SEC)+VLOOKUP(A29,Data!$A$3:$AD$81,29,FALSE)*IF(D29="Pri",SEMH_PRI,SEMH_SEC))+(VLOOKUP(A29,Data!$A$3:$AD$81,30,FALSE)*IF(D29="Pri",SLCN_PRI,SLCN_SEC))</f>
        <v>0</v>
      </c>
      <c r="O29" s="304">
        <f t="shared" si="19"/>
        <v>0</v>
      </c>
      <c r="P29" s="159">
        <f t="shared" si="0"/>
        <v>0</v>
      </c>
      <c r="Q29" s="160">
        <f>VLOOKUP($A29,MFG!$A$7:$AC$85,29,FALSE)*VLOOKUP($A29,Data!$A$4:$E$81,5,FALSE)</f>
        <v>0</v>
      </c>
      <c r="R29" s="167">
        <f t="shared" si="20"/>
        <v>0</v>
      </c>
      <c r="S29" s="162"/>
      <c r="T29" s="255">
        <f>_xlfn.IFNA(VLOOKUP(A29,'2025-26 Budget Share'!$A$5:$W$62,17,FALSE),0)</f>
        <v>0</v>
      </c>
      <c r="U29" s="305">
        <f t="shared" si="21"/>
        <v>0</v>
      </c>
      <c r="V29" s="305">
        <f t="shared" si="2"/>
        <v>0</v>
      </c>
      <c r="W29" s="305">
        <f>_xlfn.IFNA(VLOOKUP(A29,'2025-26 Budget Share'!$A$5:$W$62,21,FALSE),0)</f>
        <v>0</v>
      </c>
      <c r="X29" s="256">
        <f t="shared" si="22"/>
        <v>0</v>
      </c>
      <c r="Y29" s="446">
        <f>_xlfn.XLOOKUP(A29,Data!$D$87:$D$164,Data!$F$87:$F$164)*'Budget Shares'!E29</f>
        <v>0</v>
      </c>
      <c r="Z29" s="163"/>
      <c r="AA29" s="163">
        <f t="shared" si="3"/>
        <v>0</v>
      </c>
      <c r="AB29" s="163"/>
      <c r="AC29" s="102"/>
      <c r="AD29" s="102"/>
      <c r="AE29" s="102"/>
      <c r="AF29" s="102"/>
      <c r="AG29" s="102"/>
      <c r="AH29" s="102"/>
      <c r="AI29" s="102"/>
      <c r="AJ29" s="102"/>
      <c r="AK29" s="102"/>
      <c r="AL29" s="102"/>
      <c r="AM29" s="102"/>
      <c r="AN29" s="102"/>
      <c r="AO29" s="102"/>
    </row>
    <row r="30" spans="1:41">
      <c r="A30" s="164">
        <v>8502291</v>
      </c>
      <c r="B30" s="306" t="s">
        <v>159</v>
      </c>
      <c r="C30" s="147" t="str">
        <f>VLOOKUP(RIGHT(A30,4)*1,APN!A:C,3,FALSE)</f>
        <v>Maintained</v>
      </c>
      <c r="D30" s="147" t="str">
        <f>VLOOKUP(A30,Data!$A$3:$I$81,9,FALSE)</f>
        <v>PRI</v>
      </c>
      <c r="E30" s="165">
        <f>VLOOKUP(A30,Data!A:E,5,FALSE)</f>
        <v>10</v>
      </c>
      <c r="F30" s="147" t="str">
        <f>VLOOKUP(A30,Data!$A$3:$J$81,10,FALSE)</f>
        <v>MLD</v>
      </c>
      <c r="G30" s="147"/>
      <c r="H30" s="295"/>
      <c r="I30" s="604">
        <f>VLOOKUP(A30,Data!A:E,5,FALSE)*place</f>
        <v>60000</v>
      </c>
      <c r="J30" s="609">
        <f>IFERROR(VLOOKUP(A30,'NOR Special Units'!$B:$AF,31,FALSE)*Values!$D$28,0)</f>
        <v>8000</v>
      </c>
      <c r="K30" s="607">
        <f>VLOOKUP(A30,Data!A:E,5,FALSE)*legacy</f>
        <v>5469.7049645700008</v>
      </c>
      <c r="L30" s="428" cm="1">
        <f t="array" ref="L30">INDEX(Values!$D$1:$D$985,MATCH(1,(Values!$B$1:$B$985=F30)*(Values!$C$1:$C$985=D30),0))*VLOOKUP(A30,Data!$A$1:$F$1029,6,FALSE)</f>
        <v>15340</v>
      </c>
      <c r="M30" s="157">
        <f>(VLOOKUP(A30,Data!$A$3:$X$81,18,FALSE)*IF(D30="Pri",TACT_PRI,TACT_SEC))+(VLOOKUP(A30,Data!$A$3:$X$81,19,FALSE)*IF(D30="Pri",SIGN_PRI,SIGN_SEC))+(VLOOKUP(A30,Data!$A$3:$X$81,20,FALSE)*IF(D30="Pri",NA_PRI,NA_SEC))+(VLOOKUP(A30,Data!$A$3:$X$81,21,FALSE)*IF(D30="Pri",asd_pri,asd_sec))+(VLOOKUP(A30,Data!$A$3:$X$81,22,FALSE)*IF(D30="Pri",MLD_PRI,MLD_SEC)+VLOOKUP(A30,Data!$A$3:$X$81,23,FALSE)*IF(D30="Pri",SEMH_PRI,SEMH_SEC))+(VLOOKUP(A30,Data!$A$3:$X$81,24,FALSE)*IF(D30="Pri",SLCN_PRI,SLCN_SEC))</f>
        <v>0</v>
      </c>
      <c r="N30" s="157">
        <f>(VLOOKUP(A30,Data!$A$3:$AD$81,26,FALSE)*IF(D30="Pri",NA_PRI,NA_SEC))+(VLOOKUP(A30,Data!$A$3:$AD$81,27,FALSE)*IF(D30="Pri",asd_pri,asd_sec))+(VLOOKUP(A30,Data!$A$3:$AD$81,28,FALSE)*IF(D30="Pri",MLD_PRI,MLD_SEC)+VLOOKUP(A30,Data!$A$3:$AD$81,29,FALSE)*IF(D30="Pri",SEMH_PRI,SEMH_SEC))+(VLOOKUP(A30,Data!$A$3:$AD$81,30,FALSE)*IF(D30="Pri",SLCN_PRI,SLCN_SEC))</f>
        <v>0</v>
      </c>
      <c r="O30" s="304">
        <f>L30+M30+N30</f>
        <v>15340</v>
      </c>
      <c r="P30" s="159">
        <f t="shared" si="0"/>
        <v>1534</v>
      </c>
      <c r="Q30" s="160">
        <f>VLOOKUP($A30,MFG!$A$7:$AC$85,29,FALSE)*VLOOKUP($A30,Data!$A$4:$E$81,5,FALSE)</f>
        <v>0</v>
      </c>
      <c r="R30" s="167">
        <f>O30+Q30</f>
        <v>15340</v>
      </c>
      <c r="S30" s="162"/>
      <c r="T30" s="255">
        <f>_xlfn.IFNA(VLOOKUP(A30,'2025-26 Budget Share'!$A$5:$W$62,17,FALSE),0)</f>
        <v>13790</v>
      </c>
      <c r="U30" s="305">
        <f>R30-T30</f>
        <v>1550</v>
      </c>
      <c r="V30" s="305">
        <f t="shared" si="2"/>
        <v>1534</v>
      </c>
      <c r="W30" s="305">
        <f>_xlfn.IFNA(VLOOKUP(A30,'2025-26 Budget Share'!$A$5:$W$62,21,FALSE),0)</f>
        <v>1379</v>
      </c>
      <c r="X30" s="256">
        <f t="shared" ref="X30:X32" si="23">V30-W30</f>
        <v>155</v>
      </c>
      <c r="Y30" s="446">
        <f>_xlfn.XLOOKUP(A30,Data!$D$87:$D$164,Data!$F$87:$F$164)*'Budget Shares'!E30</f>
        <v>2368.5</v>
      </c>
      <c r="Z30" s="163"/>
      <c r="AA30" s="163">
        <f t="shared" si="3"/>
        <v>0</v>
      </c>
      <c r="AB30" s="163"/>
      <c r="AC30" s="102"/>
      <c r="AD30" s="102"/>
      <c r="AE30" s="102"/>
      <c r="AF30" s="102"/>
      <c r="AG30" s="102"/>
      <c r="AH30" s="102"/>
      <c r="AI30" s="102"/>
      <c r="AJ30" s="102"/>
      <c r="AK30" s="102"/>
      <c r="AL30" s="102"/>
      <c r="AM30" s="102"/>
      <c r="AN30" s="102"/>
      <c r="AO30" s="102"/>
    </row>
    <row r="31" spans="1:41">
      <c r="A31" s="164">
        <v>8502310</v>
      </c>
      <c r="B31" s="550" t="s">
        <v>160</v>
      </c>
      <c r="C31" s="147" t="str">
        <f>VLOOKUP(RIGHT(A31,4)*1,APN!A:C,3,FALSE)</f>
        <v>Maintained</v>
      </c>
      <c r="D31" s="147" t="str">
        <f>VLOOKUP(A31,Data!$A$3:$I$81,9,FALSE)</f>
        <v>PRI</v>
      </c>
      <c r="E31" s="165">
        <f>VLOOKUP(A31,Data!A:E,5,FALSE)</f>
        <v>0</v>
      </c>
      <c r="F31" s="147" t="str">
        <f>VLOOKUP(A31,Data!$A$3:$J$81,10,FALSE)</f>
        <v>ASC</v>
      </c>
      <c r="G31" s="147"/>
      <c r="H31" s="295"/>
      <c r="I31" s="604">
        <f>VLOOKUP(A31,Data!A:E,5,FALSE)*place</f>
        <v>0</v>
      </c>
      <c r="J31" s="609">
        <f>IFERROR(VLOOKUP(A31,'NOR Special Units'!$B:$AF,31,FALSE)*Values!$D$28,0)</f>
        <v>0</v>
      </c>
      <c r="K31" s="607">
        <f>VLOOKUP(A31,Data!A:E,5,FALSE)*legacy</f>
        <v>0</v>
      </c>
      <c r="L31" s="428" cm="1">
        <f t="array" ref="L31">INDEX(Values!$D$1:$D$985,MATCH(1,(Values!$B$1:$B$985=F31)*(Values!$C$1:$C$985=D31),0))*VLOOKUP(A31,Data!$A$1:$F$1029,6,FALSE)</f>
        <v>0</v>
      </c>
      <c r="M31" s="157">
        <f>(VLOOKUP(A31,Data!$A$3:$X$81,18,FALSE)*IF(D31="Pri",TACT_PRI,TACT_SEC))+(VLOOKUP(A31,Data!$A$3:$X$81,19,FALSE)*IF(D31="Pri",SIGN_PRI,SIGN_SEC))+(VLOOKUP(A31,Data!$A$3:$X$81,20,FALSE)*IF(D31="Pri",NA_PRI,NA_SEC))+(VLOOKUP(A31,Data!$A$3:$X$81,21,FALSE)*IF(D31="Pri",asd_pri,asd_sec))+(VLOOKUP(A31,Data!$A$3:$X$81,22,FALSE)*IF(D31="Pri",MLD_PRI,MLD_SEC)+VLOOKUP(A31,Data!$A$3:$X$81,23,FALSE)*IF(D31="Pri",SEMH_PRI,SEMH_SEC))+(VLOOKUP(A31,Data!$A$3:$X$81,24,FALSE)*IF(D31="Pri",SLCN_PRI,SLCN_SEC))</f>
        <v>0</v>
      </c>
      <c r="N31" s="157">
        <f>(VLOOKUP(A31,Data!$A$3:$AD$81,26,FALSE)*IF(D31="Pri",NA_PRI,NA_SEC))+(VLOOKUP(A31,Data!$A$3:$AD$81,27,FALSE)*IF(D31="Pri",asd_pri,asd_sec))+(VLOOKUP(A31,Data!$A$3:$AD$81,28,FALSE)*IF(D31="Pri",MLD_PRI,MLD_SEC)+VLOOKUP(A31,Data!$A$3:$AD$81,29,FALSE)*IF(D31="Pri",SEMH_PRI,SEMH_SEC))+(VLOOKUP(A31,Data!$A$3:$AD$81,30,FALSE)*IF(D31="Pri",SLCN_PRI,SLCN_SEC))</f>
        <v>0</v>
      </c>
      <c r="O31" s="304">
        <f t="shared" ref="O31:O32" si="24">L31+M31+N31</f>
        <v>0</v>
      </c>
      <c r="P31" s="159">
        <f t="shared" si="0"/>
        <v>0</v>
      </c>
      <c r="Q31" s="160">
        <f>VLOOKUP($A31,MFG!$A$7:$AC$85,29,FALSE)*VLOOKUP($A31,Data!$A$4:$E$81,5,FALSE)</f>
        <v>0</v>
      </c>
      <c r="R31" s="167">
        <f t="shared" ref="R31:R32" si="25">O31+Q31</f>
        <v>0</v>
      </c>
      <c r="S31" s="162"/>
      <c r="T31" s="255">
        <f>_xlfn.IFNA(VLOOKUP(A31,'2025-26 Budget Share'!$A$5:$W$62,17,FALSE),0)</f>
        <v>0</v>
      </c>
      <c r="U31" s="305">
        <f t="shared" ref="U31:U32" si="26">R31-T31</f>
        <v>0</v>
      </c>
      <c r="V31" s="305">
        <f t="shared" si="2"/>
        <v>0</v>
      </c>
      <c r="W31" s="305">
        <f>_xlfn.IFNA(VLOOKUP(A31,'2025-26 Budget Share'!$A$5:$W$62,21,FALSE),0)</f>
        <v>0</v>
      </c>
      <c r="X31" s="256">
        <f t="shared" si="23"/>
        <v>0</v>
      </c>
      <c r="Y31" s="446">
        <f>_xlfn.XLOOKUP(A31,Data!$D$87:$D$164,Data!$F$87:$F$164)*'Budget Shares'!E31</f>
        <v>0</v>
      </c>
      <c r="Z31" s="163"/>
      <c r="AA31" s="163">
        <f t="shared" si="3"/>
        <v>0</v>
      </c>
      <c r="AB31" s="163"/>
      <c r="AC31" s="102"/>
      <c r="AD31" s="102"/>
      <c r="AE31" s="102"/>
      <c r="AF31" s="102"/>
      <c r="AG31" s="102"/>
      <c r="AH31" s="102"/>
      <c r="AI31" s="102"/>
      <c r="AJ31" s="102"/>
      <c r="AK31" s="102"/>
      <c r="AL31" s="102"/>
      <c r="AM31" s="102"/>
      <c r="AN31" s="102"/>
      <c r="AO31" s="102"/>
    </row>
    <row r="32" spans="1:41">
      <c r="A32" s="164">
        <v>8502321</v>
      </c>
      <c r="B32" s="549" t="s">
        <v>161</v>
      </c>
      <c r="C32" s="147" t="str">
        <f>VLOOKUP(RIGHT(A32,4)*1,APN!A:C,3,FALSE)</f>
        <v>Maintained</v>
      </c>
      <c r="D32" s="147" t="str">
        <f>VLOOKUP(A32,Data!$A$3:$I$81,9,FALSE)</f>
        <v>PRI</v>
      </c>
      <c r="E32" s="165">
        <f>VLOOKUP(A32,Data!A:E,5,FALSE)</f>
        <v>0</v>
      </c>
      <c r="F32" s="147" t="str">
        <f>VLOOKUP(A32,Data!$A$3:$J$81,10,FALSE)</f>
        <v>ASC</v>
      </c>
      <c r="G32" s="147"/>
      <c r="H32" s="295"/>
      <c r="I32" s="604">
        <f>VLOOKUP(A32,Data!A:E,5,FALSE)*place</f>
        <v>0</v>
      </c>
      <c r="J32" s="609">
        <f>IFERROR(VLOOKUP(A32,'NOR Special Units'!$B:$AF,31,FALSE)*Values!$D$28,0)</f>
        <v>0</v>
      </c>
      <c r="K32" s="607">
        <f>VLOOKUP(A32,Data!A:E,5,FALSE)*legacy</f>
        <v>0</v>
      </c>
      <c r="L32" s="428" cm="1">
        <f t="array" ref="L32">INDEX(Values!$D$1:$D$985,MATCH(1,(Values!$B$1:$B$985=F32)*(Values!$C$1:$C$985=D32),0))*VLOOKUP(A32,Data!$A$1:$F$1029,6,FALSE)</f>
        <v>0</v>
      </c>
      <c r="M32" s="157">
        <f>(VLOOKUP(A32,Data!$A$3:$X$81,18,FALSE)*IF(D32="Pri",TACT_PRI,TACT_SEC))+(VLOOKUP(A32,Data!$A$3:$X$81,19,FALSE)*IF(D32="Pri",SIGN_PRI,SIGN_SEC))+(VLOOKUP(A32,Data!$A$3:$X$81,20,FALSE)*IF(D32="Pri",NA_PRI,NA_SEC))+(VLOOKUP(A32,Data!$A$3:$X$81,21,FALSE)*IF(D32="Pri",asd_pri,asd_sec))+(VLOOKUP(A32,Data!$A$3:$X$81,22,FALSE)*IF(D32="Pri",MLD_PRI,MLD_SEC)+VLOOKUP(A32,Data!$A$3:$X$81,23,FALSE)*IF(D32="Pri",SEMH_PRI,SEMH_SEC))+(VLOOKUP(A32,Data!$A$3:$X$81,24,FALSE)*IF(D32="Pri",SLCN_PRI,SLCN_SEC))</f>
        <v>0</v>
      </c>
      <c r="N32" s="157">
        <f>(VLOOKUP(A32,Data!$A$3:$AD$81,26,FALSE)*IF(D32="Pri",NA_PRI,NA_SEC))+(VLOOKUP(A32,Data!$A$3:$AD$81,27,FALSE)*IF(D32="Pri",asd_pri,asd_sec))+(VLOOKUP(A32,Data!$A$3:$AD$81,28,FALSE)*IF(D32="Pri",MLD_PRI,MLD_SEC)+VLOOKUP(A32,Data!$A$3:$AD$81,29,FALSE)*IF(D32="Pri",SEMH_PRI,SEMH_SEC))+(VLOOKUP(A32,Data!$A$3:$AD$81,30,FALSE)*IF(D32="Pri",SLCN_PRI,SLCN_SEC))</f>
        <v>0</v>
      </c>
      <c r="O32" s="304">
        <f t="shared" si="24"/>
        <v>0</v>
      </c>
      <c r="P32" s="159">
        <f t="shared" si="0"/>
        <v>0</v>
      </c>
      <c r="Q32" s="160">
        <f>VLOOKUP($A32,MFG!$A$7:$AC$85,29,FALSE)*VLOOKUP($A32,Data!$A$4:$E$81,5,FALSE)</f>
        <v>0</v>
      </c>
      <c r="R32" s="167">
        <f t="shared" si="25"/>
        <v>0</v>
      </c>
      <c r="S32" s="162"/>
      <c r="T32" s="255">
        <f>_xlfn.IFNA(VLOOKUP(A32,'2025-26 Budget Share'!$A$5:$W$62,17,FALSE),0)</f>
        <v>0</v>
      </c>
      <c r="U32" s="305">
        <f t="shared" si="26"/>
        <v>0</v>
      </c>
      <c r="V32" s="305">
        <f t="shared" si="2"/>
        <v>0</v>
      </c>
      <c r="W32" s="305">
        <f>_xlfn.IFNA(VLOOKUP(A32,'2025-26 Budget Share'!$A$5:$W$62,21,FALSE),0)</f>
        <v>0</v>
      </c>
      <c r="X32" s="256">
        <f t="shared" si="23"/>
        <v>0</v>
      </c>
      <c r="Y32" s="446">
        <f>_xlfn.XLOOKUP(A32,Data!$D$87:$D$164,Data!$F$87:$F$164)*'Budget Shares'!E32</f>
        <v>0</v>
      </c>
      <c r="Z32" s="163"/>
      <c r="AA32" s="163">
        <f t="shared" si="3"/>
        <v>0</v>
      </c>
      <c r="AB32" s="163"/>
      <c r="AC32" s="102"/>
      <c r="AD32" s="102"/>
      <c r="AE32" s="102"/>
      <c r="AF32" s="102"/>
      <c r="AG32" s="102"/>
      <c r="AH32" s="102"/>
      <c r="AI32" s="102"/>
      <c r="AJ32" s="102"/>
      <c r="AK32" s="102"/>
      <c r="AL32" s="102"/>
      <c r="AM32" s="102"/>
      <c r="AN32" s="102"/>
      <c r="AO32" s="102"/>
    </row>
    <row r="33" spans="1:41">
      <c r="A33" s="164">
        <v>8502339</v>
      </c>
      <c r="B33" s="306" t="s">
        <v>162</v>
      </c>
      <c r="C33" s="147" t="str">
        <f>VLOOKUP(RIGHT(A33,4)*1,APN!A:C,3,FALSE)</f>
        <v>Maintained</v>
      </c>
      <c r="D33" s="147" t="str">
        <f>VLOOKUP(A33,Data!$A$3:$I$81,9,FALSE)</f>
        <v>PRI</v>
      </c>
      <c r="E33" s="165">
        <f>VLOOKUP(A33,Data!A:E,5,FALSE)</f>
        <v>7.75</v>
      </c>
      <c r="F33" s="147" t="str">
        <f>VLOOKUP(A33,Data!$A$3:$J$81,10,FALSE)</f>
        <v>ASC</v>
      </c>
      <c r="G33" s="147"/>
      <c r="H33" s="295"/>
      <c r="I33" s="604">
        <f>VLOOKUP(A33,Data!A:E,5,FALSE)*place</f>
        <v>46500</v>
      </c>
      <c r="J33" s="609">
        <f>IFERROR(VLOOKUP(A33,'NOR Special Units'!$B:$AF,31,FALSE)*Values!$D$28,0)</f>
        <v>15000</v>
      </c>
      <c r="K33" s="607">
        <f>VLOOKUP(A33,Data!A:E,5,FALSE)*legacy</f>
        <v>4239.0213475417504</v>
      </c>
      <c r="L33" s="428" cm="1">
        <f t="array" ref="L33">INDEX(Values!$D$1:$D$985,MATCH(1,(Values!$B$1:$B$985=F33)*(Values!$C$1:$C$985=D33),0))*VLOOKUP(A33,Data!$A$1:$F$1029,6,FALSE)</f>
        <v>86087</v>
      </c>
      <c r="M33" s="157">
        <f>(VLOOKUP(A33,Data!$A$3:$X$81,18,FALSE)*IF(D33="Pri",TACT_PRI,TACT_SEC))+(VLOOKUP(A33,Data!$A$3:$X$81,19,FALSE)*IF(D33="Pri",SIGN_PRI,SIGN_SEC))+(VLOOKUP(A33,Data!$A$3:$X$81,20,FALSE)*IF(D33="Pri",NA_PRI,NA_SEC))+(VLOOKUP(A33,Data!$A$3:$X$81,21,FALSE)*IF(D33="Pri",asd_pri,asd_sec))+(VLOOKUP(A33,Data!$A$3:$X$81,22,FALSE)*IF(D33="Pri",MLD_PRI,MLD_SEC)+VLOOKUP(A33,Data!$A$3:$X$81,23,FALSE)*IF(D33="Pri",SEMH_PRI,SEMH_SEC))+(VLOOKUP(A33,Data!$A$3:$X$81,24,FALSE)*IF(D33="Pri",SLCN_PRI,SLCN_SEC))</f>
        <v>0</v>
      </c>
      <c r="N33" s="157">
        <f>(VLOOKUP(A33,Data!$A$3:$AD$81,26,FALSE)*IF(D33="Pri",NA_PRI,NA_SEC))+(VLOOKUP(A33,Data!$A$3:$AD$81,27,FALSE)*IF(D33="Pri",asd_pri,asd_sec))+(VLOOKUP(A33,Data!$A$3:$AD$81,28,FALSE)*IF(D33="Pri",MLD_PRI,MLD_SEC)+VLOOKUP(A33,Data!$A$3:$AD$81,29,FALSE)*IF(D33="Pri",SEMH_PRI,SEMH_SEC))+(VLOOKUP(A33,Data!$A$3:$AD$81,30,FALSE)*IF(D33="Pri",SLCN_PRI,SLCN_SEC))</f>
        <v>0</v>
      </c>
      <c r="O33" s="304">
        <f t="shared" ref="O33" si="27">L33+M33+N33</f>
        <v>86087</v>
      </c>
      <c r="P33" s="159">
        <f t="shared" si="0"/>
        <v>11108</v>
      </c>
      <c r="Q33" s="160">
        <f>VLOOKUP($A33,MFG!$A$7:$AC$85,29,FALSE)*VLOOKUP($A33,Data!$A$4:$E$81,5,FALSE)</f>
        <v>0</v>
      </c>
      <c r="R33" s="167">
        <f t="shared" ref="R33" si="28">O33+Q33</f>
        <v>86087</v>
      </c>
      <c r="S33" s="162"/>
      <c r="T33" s="255">
        <f>_xlfn.IFNA(VLOOKUP(A33,'2025-26 Budget Share'!$A$5:$W$62,17,FALSE),0)</f>
        <v>37646</v>
      </c>
      <c r="U33" s="305">
        <f t="shared" ref="U33" si="29">R33-T33</f>
        <v>48441</v>
      </c>
      <c r="V33" s="305">
        <f t="shared" si="2"/>
        <v>11108</v>
      </c>
      <c r="W33" s="305">
        <f>_xlfn.IFNA(VLOOKUP(A33,'2025-26 Budget Share'!$A$5:$W$62,21,FALSE),0)</f>
        <v>10756</v>
      </c>
      <c r="X33" s="256">
        <f t="shared" ref="X33" si="30">V33-W33</f>
        <v>352</v>
      </c>
      <c r="Y33" s="446">
        <f>_xlfn.XLOOKUP(A33,Data!$D$87:$D$164,Data!$F$87:$F$164)*'Budget Shares'!E33</f>
        <v>4168.57</v>
      </c>
      <c r="Z33" s="163"/>
      <c r="AA33" s="163">
        <f t="shared" si="3"/>
        <v>0</v>
      </c>
      <c r="AB33" s="163"/>
      <c r="AC33" s="102"/>
      <c r="AD33" s="102"/>
      <c r="AE33" s="102"/>
      <c r="AF33" s="102"/>
      <c r="AG33" s="102"/>
      <c r="AH33" s="102"/>
      <c r="AI33" s="102"/>
      <c r="AJ33" s="102"/>
      <c r="AK33" s="102"/>
      <c r="AL33" s="102"/>
      <c r="AM33" s="102"/>
      <c r="AN33" s="102"/>
      <c r="AO33" s="102"/>
    </row>
    <row r="34" spans="1:41">
      <c r="A34" s="168">
        <v>8502347</v>
      </c>
      <c r="B34" s="306" t="s">
        <v>15</v>
      </c>
      <c r="C34" s="147" t="str">
        <f>VLOOKUP(RIGHT(A34,4)*1,APN!A:C,3,FALSE)</f>
        <v>Maintained</v>
      </c>
      <c r="D34" s="147" t="str">
        <f>VLOOKUP(A34,Data!$A$3:$I$81,9,FALSE)</f>
        <v>PRI</v>
      </c>
      <c r="E34" s="165">
        <f>VLOOKUP(A34,Data!A:E,5,FALSE)</f>
        <v>9</v>
      </c>
      <c r="F34" s="147" t="str">
        <f>VLOOKUP(A34,Data!$A$3:$J$81,10,FALSE)</f>
        <v>VI</v>
      </c>
      <c r="G34" s="147"/>
      <c r="H34" s="295"/>
      <c r="I34" s="604">
        <f>VLOOKUP(A34,Data!A:E,5,FALSE)*place</f>
        <v>54000</v>
      </c>
      <c r="J34" s="609">
        <f>IFERROR(VLOOKUP(A34,'NOR Special Units'!$B:$AF,31,FALSE)*Values!$D$28,0)</f>
        <v>0</v>
      </c>
      <c r="K34" s="607">
        <f>VLOOKUP(A34,Data!A:E,5,FALSE)*legacy</f>
        <v>4922.7344681130007</v>
      </c>
      <c r="L34" s="428" cm="1">
        <f t="array" ref="L34">INDEX(Values!$D$1:$D$985,MATCH(1,(Values!$B$1:$B$985=F34)*(Values!$C$1:$C$985=D34),0))*VLOOKUP(A34,Data!$A$1:$F$1029,6,FALSE)</f>
        <v>123885</v>
      </c>
      <c r="M34" s="157">
        <f>(VLOOKUP(A34,Data!$A$3:$X$81,18,FALSE)*IF(D34="Pri",TACT_PRI,TACT_SEC))+(VLOOKUP(A34,Data!$A$3:$X$81,19,FALSE)*IF(D34="Pri",SIGN_PRI,SIGN_SEC))+(VLOOKUP(A34,Data!$A$3:$X$81,20,FALSE)*IF(D34="Pri",NA_PRI,NA_SEC))+(VLOOKUP(A34,Data!$A$3:$X$81,21,FALSE)*IF(D34="Pri",asd_pri,asd_sec))+(VLOOKUP(A34,Data!$A$3:$X$81,22,FALSE)*IF(D34="Pri",MLD_PRI,MLD_SEC)+VLOOKUP(A34,Data!$A$3:$X$81,23,FALSE)*IF(D34="Pri",SEMH_PRI,SEMH_SEC))+(VLOOKUP(A34,Data!$A$3:$X$81,24,FALSE)*IF(D34="Pri",SLCN_PRI,SLCN_SEC))</f>
        <v>35818.200000000004</v>
      </c>
      <c r="N34" s="157">
        <f>(VLOOKUP(A34,Data!$A$3:$AD$81,26,FALSE)*IF(D34="Pri",NA_PRI,NA_SEC))+(VLOOKUP(A34,Data!$A$3:$AD$81,27,FALSE)*IF(D34="Pri",asd_pri,asd_sec))+(VLOOKUP(A34,Data!$A$3:$AD$81,28,FALSE)*IF(D34="Pri",MLD_PRI,MLD_SEC)+VLOOKUP(A34,Data!$A$3:$AD$81,29,FALSE)*IF(D34="Pri",SEMH_PRI,SEMH_SEC))+(VLOOKUP(A34,Data!$A$3:$AD$81,30,FALSE)*IF(D34="Pri",SLCN_PRI,SLCN_SEC))</f>
        <v>0</v>
      </c>
      <c r="O34" s="304">
        <f t="shared" si="4"/>
        <v>159703.20000000001</v>
      </c>
      <c r="P34" s="159">
        <f t="shared" si="0"/>
        <v>17744.800000000003</v>
      </c>
      <c r="Q34" s="160">
        <f>VLOOKUP($A34,MFG!$A$7:$AC$85,29,FALSE)*VLOOKUP($A34,Data!$A$4:$E$81,5,FALSE)</f>
        <v>0</v>
      </c>
      <c r="R34" s="167">
        <f t="shared" si="5"/>
        <v>159703.20000000001</v>
      </c>
      <c r="S34" s="162"/>
      <c r="T34" s="255">
        <f>_xlfn.IFNA(VLOOKUP(A34,'2025-26 Budget Share'!$A$5:$W$62,17,FALSE),0)</f>
        <v>152637.04</v>
      </c>
      <c r="U34" s="305">
        <f t="shared" si="1"/>
        <v>7066.1600000000035</v>
      </c>
      <c r="V34" s="305">
        <f t="shared" si="2"/>
        <v>17744.800000000003</v>
      </c>
      <c r="W34" s="305">
        <f>_xlfn.IFNA(VLOOKUP(A34,'2025-26 Budget Share'!$A$5:$W$62,21,FALSE),0)</f>
        <v>16959.671111111111</v>
      </c>
      <c r="X34" s="256">
        <f t="shared" si="6"/>
        <v>785.12888888889211</v>
      </c>
      <c r="Y34" s="446">
        <f>_xlfn.XLOOKUP(A34,Data!$D$87:$D$164,Data!$F$87:$F$164)*'Budget Shares'!E34</f>
        <v>6843.42</v>
      </c>
      <c r="Z34" s="163"/>
      <c r="AA34" s="163">
        <f t="shared" si="3"/>
        <v>0</v>
      </c>
      <c r="AB34" s="163"/>
      <c r="AC34" s="102"/>
      <c r="AD34" s="102"/>
      <c r="AE34" s="102"/>
      <c r="AF34" s="102"/>
      <c r="AG34" s="102"/>
      <c r="AH34" s="102"/>
      <c r="AI34" s="102"/>
      <c r="AJ34" s="102"/>
      <c r="AK34" s="102"/>
      <c r="AL34" s="102"/>
      <c r="AM34" s="102"/>
      <c r="AN34" s="102"/>
      <c r="AO34" s="102"/>
    </row>
    <row r="35" spans="1:41">
      <c r="A35" s="164">
        <v>8502377</v>
      </c>
      <c r="B35" s="306" t="s">
        <v>16</v>
      </c>
      <c r="C35" s="147" t="str">
        <f>VLOOKUP(RIGHT(A35,4)*1,APN!A:C,3,FALSE)</f>
        <v>Maintained</v>
      </c>
      <c r="D35" s="147" t="str">
        <f>VLOOKUP(A35,Data!$A$3:$I$81,9,FALSE)</f>
        <v>PRI</v>
      </c>
      <c r="E35" s="165">
        <f>VLOOKUP(A35,Data!A:E,5,FALSE)</f>
        <v>10</v>
      </c>
      <c r="F35" s="147" t="str">
        <f>VLOOKUP(A35,Data!$A$3:$J$81,10,FALSE)</f>
        <v>MLD</v>
      </c>
      <c r="G35" s="147"/>
      <c r="H35" s="295"/>
      <c r="I35" s="604">
        <f>VLOOKUP(A35,Data!A:E,5,FALSE)*place</f>
        <v>60000</v>
      </c>
      <c r="J35" s="609">
        <f>IFERROR(VLOOKUP(A35,'NOR Special Units'!$B:$AF,31,FALSE)*Values!$D$28,0)</f>
        <v>0</v>
      </c>
      <c r="K35" s="607">
        <f>VLOOKUP(A35,Data!A:E,5,FALSE)*legacy</f>
        <v>5469.7049645700008</v>
      </c>
      <c r="L35" s="428" cm="1">
        <f t="array" ref="L35">INDEX(Values!$D$1:$D$985,MATCH(1,(Values!$B$1:$B$985=F35)*(Values!$C$1:$C$985=D35),0))*VLOOKUP(A35,Data!$A$1:$F$1029,6,FALSE)</f>
        <v>15340</v>
      </c>
      <c r="M35" s="157">
        <f>(VLOOKUP(A35,Data!$A$3:$X$81,18,FALSE)*IF(D35="Pri",TACT_PRI,TACT_SEC))+(VLOOKUP(A35,Data!$A$3:$X$81,19,FALSE)*IF(D35="Pri",SIGN_PRI,SIGN_SEC))+(VLOOKUP(A35,Data!$A$3:$X$81,20,FALSE)*IF(D35="Pri",NA_PRI,NA_SEC))+(VLOOKUP(A35,Data!$A$3:$X$81,21,FALSE)*IF(D35="Pri",asd_pri,asd_sec))+(VLOOKUP(A35,Data!$A$3:$X$81,22,FALSE)*IF(D35="Pri",MLD_PRI,MLD_SEC)+VLOOKUP(A35,Data!$A$3:$X$81,23,FALSE)*IF(D35="Pri",SEMH_PRI,SEMH_SEC))+(VLOOKUP(A35,Data!$A$3:$X$81,24,FALSE)*IF(D35="Pri",SLCN_PRI,SLCN_SEC))</f>
        <v>0</v>
      </c>
      <c r="N35" s="157">
        <f>(VLOOKUP(A35,Data!$A$3:$AD$81,26,FALSE)*IF(D35="Pri",NA_PRI,NA_SEC))+(VLOOKUP(A35,Data!$A$3:$AD$81,27,FALSE)*IF(D35="Pri",asd_pri,asd_sec))+(VLOOKUP(A35,Data!$A$3:$AD$81,28,FALSE)*IF(D35="Pri",MLD_PRI,MLD_SEC)+VLOOKUP(A35,Data!$A$3:$AD$81,29,FALSE)*IF(D35="Pri",SEMH_PRI,SEMH_SEC))+(VLOOKUP(A35,Data!$A$3:$AD$81,30,FALSE)*IF(D35="Pri",SLCN_PRI,SLCN_SEC))</f>
        <v>0</v>
      </c>
      <c r="O35" s="304">
        <f t="shared" si="4"/>
        <v>15340</v>
      </c>
      <c r="P35" s="159">
        <f t="shared" si="0"/>
        <v>1534</v>
      </c>
      <c r="Q35" s="160">
        <f>VLOOKUP($A35,MFG!$A$7:$AC$85,29,FALSE)*VLOOKUP($A35,Data!$A$4:$E$81,5,FALSE)</f>
        <v>0</v>
      </c>
      <c r="R35" s="167">
        <f t="shared" si="5"/>
        <v>15340</v>
      </c>
      <c r="S35" s="162"/>
      <c r="T35" s="255">
        <f>_xlfn.IFNA(VLOOKUP(A35,'2025-26 Budget Share'!$A$5:$W$62,17,FALSE),0)</f>
        <v>13790</v>
      </c>
      <c r="U35" s="305">
        <f t="shared" si="1"/>
        <v>1550</v>
      </c>
      <c r="V35" s="305">
        <f t="shared" si="2"/>
        <v>1534</v>
      </c>
      <c r="W35" s="305">
        <f>_xlfn.IFNA(VLOOKUP(A35,'2025-26 Budget Share'!$A$5:$W$62,21,FALSE),0)</f>
        <v>1379</v>
      </c>
      <c r="X35" s="256">
        <f t="shared" si="6"/>
        <v>155</v>
      </c>
      <c r="Y35" s="446">
        <f>_xlfn.XLOOKUP(A35,Data!$D$87:$D$164,Data!$F$87:$F$164)*'Budget Shares'!E35</f>
        <v>2368.5</v>
      </c>
      <c r="Z35" s="163"/>
      <c r="AA35" s="163">
        <f t="shared" si="3"/>
        <v>0</v>
      </c>
      <c r="AB35" s="163"/>
      <c r="AC35" s="102"/>
      <c r="AD35" s="102"/>
      <c r="AE35" s="102"/>
      <c r="AF35" s="102"/>
      <c r="AG35" s="102"/>
      <c r="AH35" s="102"/>
      <c r="AI35" s="102"/>
      <c r="AJ35" s="102"/>
      <c r="AK35" s="102"/>
      <c r="AL35" s="102"/>
      <c r="AM35" s="102"/>
      <c r="AN35" s="102"/>
      <c r="AO35" s="102"/>
    </row>
    <row r="36" spans="1:41">
      <c r="A36" s="164">
        <v>8502520</v>
      </c>
      <c r="B36" s="306" t="s">
        <v>17</v>
      </c>
      <c r="C36" s="147" t="str">
        <f>VLOOKUP(RIGHT(A36,4)*1,APN!A:C,3,FALSE)</f>
        <v>Maintained</v>
      </c>
      <c r="D36" s="147" t="str">
        <f>VLOOKUP(A36,Data!$A$3:$I$81,9,FALSE)</f>
        <v>PRI</v>
      </c>
      <c r="E36" s="165">
        <f>VLOOKUP(A36,Data!A:E,5,FALSE)</f>
        <v>6</v>
      </c>
      <c r="F36" s="147" t="str">
        <f>VLOOKUP(A36,Data!$A$3:$J$81,10,FALSE)</f>
        <v>HI</v>
      </c>
      <c r="G36" s="147"/>
      <c r="H36" s="295"/>
      <c r="I36" s="604">
        <f>VLOOKUP(A36,Data!A:E,5,FALSE)*place</f>
        <v>36000</v>
      </c>
      <c r="J36" s="609">
        <f>IFERROR(VLOOKUP(A36,'NOR Special Units'!$B:$AF,31,FALSE)*Values!$D$28,0)</f>
        <v>12000</v>
      </c>
      <c r="K36" s="607">
        <f>VLOOKUP(A36,Data!A:E,5,FALSE)*legacy</f>
        <v>3281.8229787420005</v>
      </c>
      <c r="L36" s="428" cm="1">
        <f t="array" ref="L36">INDEX(Values!$D$1:$D$985,MATCH(1,(Values!$B$1:$B$985=F36)*(Values!$C$1:$C$985=D36),0))*VLOOKUP(A36,Data!$A$1:$F$1029,6,FALSE)</f>
        <v>52206</v>
      </c>
      <c r="M36" s="157">
        <f>(VLOOKUP(A36,Data!$A$3:$X$81,18,FALSE)*IF(D36="Pri",TACT_PRI,TACT_SEC))+(VLOOKUP(A36,Data!$A$3:$X$81,19,FALSE)*IF(D36="Pri",SIGN_PRI,SIGN_SEC))+(VLOOKUP(A36,Data!$A$3:$X$81,20,FALSE)*IF(D36="Pri",NA_PRI,NA_SEC))+(VLOOKUP(A36,Data!$A$3:$X$81,21,FALSE)*IF(D36="Pri",asd_pri,asd_sec))+(VLOOKUP(A36,Data!$A$3:$X$81,22,FALSE)*IF(D36="Pri",MLD_PRI,MLD_SEC)+VLOOKUP(A36,Data!$A$3:$X$81,23,FALSE)*IF(D36="Pri",SEMH_PRI,SEMH_SEC))+(VLOOKUP(A36,Data!$A$3:$X$81,24,FALSE)*IF(D36="Pri",SLCN_PRI,SLCN_SEC))</f>
        <v>50964</v>
      </c>
      <c r="N36" s="157">
        <f>(VLOOKUP(A36,Data!$A$3:$AD$81,26,FALSE)*IF(D36="Pri",NA_PRI,NA_SEC))+(VLOOKUP(A36,Data!$A$3:$AD$81,27,FALSE)*IF(D36="Pri",asd_pri,asd_sec))+(VLOOKUP(A36,Data!$A$3:$AD$81,28,FALSE)*IF(D36="Pri",MLD_PRI,MLD_SEC)+VLOOKUP(A36,Data!$A$3:$AD$81,29,FALSE)*IF(D36="Pri",SEMH_PRI,SEMH_SEC))+(VLOOKUP(A36,Data!$A$3:$AD$81,30,FALSE)*IF(D36="Pri",SLCN_PRI,SLCN_SEC))</f>
        <v>0</v>
      </c>
      <c r="O36" s="304">
        <f t="shared" si="4"/>
        <v>103170</v>
      </c>
      <c r="P36" s="159">
        <f t="shared" si="0"/>
        <v>17195</v>
      </c>
      <c r="Q36" s="160">
        <f>VLOOKUP($A36,MFG!$A$7:$AC$85,29,FALSE)*VLOOKUP($A36,Data!$A$4:$E$81,5,FALSE)</f>
        <v>0</v>
      </c>
      <c r="R36" s="167">
        <f t="shared" si="5"/>
        <v>103170</v>
      </c>
      <c r="S36" s="162"/>
      <c r="T36" s="255">
        <f>_xlfn.IFNA(VLOOKUP(A36,'2025-26 Budget Share'!$A$5:$W$62,17,FALSE),0)</f>
        <v>100302</v>
      </c>
      <c r="U36" s="305">
        <f t="shared" si="1"/>
        <v>2868</v>
      </c>
      <c r="V36" s="305">
        <f t="shared" si="2"/>
        <v>17195</v>
      </c>
      <c r="W36" s="305">
        <f>_xlfn.IFNA(VLOOKUP(A36,'2025-26 Budget Share'!$A$5:$W$62,21,FALSE),0)</f>
        <v>16717</v>
      </c>
      <c r="X36" s="256">
        <f t="shared" si="6"/>
        <v>478</v>
      </c>
      <c r="Y36" s="446">
        <f>_xlfn.XLOOKUP(A36,Data!$D$87:$D$164,Data!$F$87:$F$164)*'Budget Shares'!E36</f>
        <v>4375.0200000000004</v>
      </c>
      <c r="Z36" s="163"/>
      <c r="AA36" s="163">
        <f t="shared" si="3"/>
        <v>0</v>
      </c>
      <c r="AB36" s="163"/>
      <c r="AC36" s="102"/>
      <c r="AD36" s="102"/>
      <c r="AE36" s="102"/>
      <c r="AF36" s="102"/>
      <c r="AG36" s="102"/>
      <c r="AH36" s="102"/>
      <c r="AI36" s="102"/>
      <c r="AJ36" s="102"/>
      <c r="AK36" s="102"/>
      <c r="AL36" s="102"/>
      <c r="AM36" s="102"/>
      <c r="AN36" s="102"/>
      <c r="AO36" s="102"/>
    </row>
    <row r="37" spans="1:41">
      <c r="A37" s="164">
        <v>8502531</v>
      </c>
      <c r="B37" s="306" t="s">
        <v>18</v>
      </c>
      <c r="C37" s="147" t="str">
        <f>VLOOKUP(RIGHT(A37,4)*1,APN!A:C,3,FALSE)</f>
        <v>Maintained</v>
      </c>
      <c r="D37" s="147" t="str">
        <f>VLOOKUP(A37,Data!$A$3:$I$81,9,FALSE)</f>
        <v>PRI</v>
      </c>
      <c r="E37" s="165">
        <f>VLOOKUP(A37,Data!A:E,5,FALSE)</f>
        <v>20</v>
      </c>
      <c r="F37" s="147" t="str">
        <f>VLOOKUP(A37,Data!$A$3:$J$81,10,FALSE)</f>
        <v>MLD</v>
      </c>
      <c r="G37" s="147"/>
      <c r="H37" s="295"/>
      <c r="I37" s="604">
        <f>VLOOKUP(A37,Data!A:E,5,FALSE)*place</f>
        <v>120000</v>
      </c>
      <c r="J37" s="609">
        <f>IFERROR(VLOOKUP(A37,'NOR Special Units'!$B:$AF,31,FALSE)*Values!$D$28,0)</f>
        <v>0</v>
      </c>
      <c r="K37" s="607">
        <f>VLOOKUP(A37,Data!A:E,5,FALSE)*legacy</f>
        <v>10939.409929140002</v>
      </c>
      <c r="L37" s="428" cm="1">
        <f t="array" ref="L37">INDEX(Values!$D$1:$D$985,MATCH(1,(Values!$B$1:$B$985=F37)*(Values!$C$1:$C$985=D37),0))*VLOOKUP(A37,Data!$A$1:$F$1029,6,FALSE)</f>
        <v>30680</v>
      </c>
      <c r="M37" s="157">
        <f>(VLOOKUP(A37,Data!$A$3:$X$81,18,FALSE)*IF(D37="Pri",TACT_PRI,TACT_SEC))+(VLOOKUP(A37,Data!$A$3:$X$81,19,FALSE)*IF(D37="Pri",SIGN_PRI,SIGN_SEC))+(VLOOKUP(A37,Data!$A$3:$X$81,20,FALSE)*IF(D37="Pri",NA_PRI,NA_SEC))+(VLOOKUP(A37,Data!$A$3:$X$81,21,FALSE)*IF(D37="Pri",asd_pri,asd_sec))+(VLOOKUP(A37,Data!$A$3:$X$81,22,FALSE)*IF(D37="Pri",MLD_PRI,MLD_SEC)+VLOOKUP(A37,Data!$A$3:$X$81,23,FALSE)*IF(D37="Pri",SEMH_PRI,SEMH_SEC))+(VLOOKUP(A37,Data!$A$3:$X$81,24,FALSE)*IF(D37="Pri",SLCN_PRI,SLCN_SEC))</f>
        <v>0</v>
      </c>
      <c r="N37" s="157">
        <f>(VLOOKUP(A37,Data!$A$3:$AD$81,26,FALSE)*IF(D37="Pri",NA_PRI,NA_SEC))+(VLOOKUP(A37,Data!$A$3:$AD$81,27,FALSE)*IF(D37="Pri",asd_pri,asd_sec))+(VLOOKUP(A37,Data!$A$3:$AD$81,28,FALSE)*IF(D37="Pri",MLD_PRI,MLD_SEC)+VLOOKUP(A37,Data!$A$3:$AD$81,29,FALSE)*IF(D37="Pri",SEMH_PRI,SEMH_SEC))+(VLOOKUP(A37,Data!$A$3:$AD$81,30,FALSE)*IF(D37="Pri",SLCN_PRI,SLCN_SEC))</f>
        <v>0</v>
      </c>
      <c r="O37" s="304">
        <f t="shared" si="4"/>
        <v>30680</v>
      </c>
      <c r="P37" s="159">
        <f t="shared" ref="P37:P68" si="31">IF(I37=0,0,O37/E37)</f>
        <v>1534</v>
      </c>
      <c r="Q37" s="160">
        <f>VLOOKUP($A37,MFG!$A$7:$AC$85,29,FALSE)*VLOOKUP($A37,Data!$A$4:$E$81,5,FALSE)</f>
        <v>0</v>
      </c>
      <c r="R37" s="167">
        <f t="shared" si="5"/>
        <v>30680</v>
      </c>
      <c r="S37" s="162"/>
      <c r="T37" s="255">
        <f>_xlfn.IFNA(VLOOKUP(A37,'2025-26 Budget Share'!$A$5:$W$62,17,FALSE),0)</f>
        <v>27580</v>
      </c>
      <c r="U37" s="305">
        <f t="shared" si="1"/>
        <v>3100</v>
      </c>
      <c r="V37" s="305">
        <f t="shared" ref="V37:V68" si="32">IF(I37=0,0,R37/E37)</f>
        <v>1534</v>
      </c>
      <c r="W37" s="305">
        <f>_xlfn.IFNA(VLOOKUP(A37,'2025-26 Budget Share'!$A$5:$W$62,21,FALSE),0)</f>
        <v>1379</v>
      </c>
      <c r="X37" s="256">
        <f t="shared" si="6"/>
        <v>155</v>
      </c>
      <c r="Y37" s="446">
        <f>_xlfn.XLOOKUP(A37,Data!$D$87:$D$164,Data!$F$87:$F$164)*'Budget Shares'!E37</f>
        <v>4737</v>
      </c>
      <c r="Z37" s="163"/>
      <c r="AA37" s="163">
        <f t="shared" ref="AA37:AA68" si="33">IFERROR(ROUND(Q37/(I37/6000),0),0)</f>
        <v>0</v>
      </c>
      <c r="AB37" s="163"/>
      <c r="AC37" s="102"/>
      <c r="AD37" s="102"/>
      <c r="AE37" s="102"/>
      <c r="AF37" s="102"/>
      <c r="AG37" s="102"/>
      <c r="AH37" s="102"/>
      <c r="AI37" s="102"/>
      <c r="AJ37" s="102"/>
      <c r="AK37" s="102"/>
      <c r="AL37" s="102"/>
      <c r="AM37" s="102"/>
      <c r="AN37" s="102"/>
      <c r="AO37" s="102"/>
    </row>
    <row r="38" spans="1:41">
      <c r="A38" s="164">
        <v>8502533</v>
      </c>
      <c r="B38" s="306" t="s">
        <v>19</v>
      </c>
      <c r="C38" s="147" t="str">
        <f>VLOOKUP(RIGHT(A38,4)*1,APN!A:C,3,FALSE)</f>
        <v>Maintained</v>
      </c>
      <c r="D38" s="147" t="str">
        <f>VLOOKUP(A38,Data!$A$3:$I$81,9,FALSE)</f>
        <v>PRI</v>
      </c>
      <c r="E38" s="165">
        <f>VLOOKUP(A38,Data!A:E,5,FALSE)</f>
        <v>24</v>
      </c>
      <c r="F38" s="147" t="str">
        <f>VLOOKUP(A38,Data!$A$3:$J$81,10,FALSE)</f>
        <v>SLCN</v>
      </c>
      <c r="G38" s="147" t="s">
        <v>141</v>
      </c>
      <c r="H38" s="295"/>
      <c r="I38" s="604">
        <f>VLOOKUP(A38,Data!A:E,5,FALSE)*place</f>
        <v>144000</v>
      </c>
      <c r="J38" s="609">
        <f>IFERROR(VLOOKUP(A38,'NOR Special Units'!$B:$AF,31,FALSE)*Values!$D$28,0)</f>
        <v>12000</v>
      </c>
      <c r="K38" s="607">
        <f>VLOOKUP(A38,Data!A:E,5,FALSE)*legacy</f>
        <v>13127.291914968002</v>
      </c>
      <c r="L38" s="428" cm="1">
        <f t="array" ref="L38">INDEX(Values!$D$1:$D$985,MATCH(1,(Values!$B$1:$B$985=F38)*(Values!$C$1:$C$985=D38),0))*VLOOKUP(A38,Data!$A$1:$F$1029,6,FALSE)</f>
        <v>84096</v>
      </c>
      <c r="M38" s="157">
        <f>(VLOOKUP(A38,Data!$A$3:$X$81,18,FALSE)*IF(D38="Pri",TACT_PRI,TACT_SEC))+(VLOOKUP(A38,Data!$A$3:$X$81,19,FALSE)*IF(D38="Pri",SIGN_PRI,SIGN_SEC))+(VLOOKUP(A38,Data!$A$3:$X$81,20,FALSE)*IF(D38="Pri",NA_PRI,NA_SEC))+(VLOOKUP(A38,Data!$A$3:$X$81,21,FALSE)*IF(D38="Pri",asd_pri,asd_sec))+(VLOOKUP(A38,Data!$A$3:$X$81,22,FALSE)*IF(D38="Pri",MLD_PRI,MLD_SEC)+VLOOKUP(A38,Data!$A$3:$X$81,23,FALSE)*IF(D38="Pri",SEMH_PRI,SEMH_SEC))+(VLOOKUP(A38,Data!$A$3:$X$81,24,FALSE)*IF(D38="Pri",SLCN_PRI,SLCN_SEC))</f>
        <v>88864</v>
      </c>
      <c r="N38" s="157">
        <f>(VLOOKUP(A38,Data!$A$3:$AD$81,26,FALSE)*IF(D38="Pri",NA_PRI,NA_SEC))+(VLOOKUP(A38,Data!$A$3:$AD$81,27,FALSE)*IF(D38="Pri",asd_pri,asd_sec))+(VLOOKUP(A38,Data!$A$3:$AD$81,28,FALSE)*IF(D38="Pri",MLD_PRI,MLD_SEC)+VLOOKUP(A38,Data!$A$3:$AD$81,29,FALSE)*IF(D38="Pri",SEMH_PRI,SEMH_SEC))+(VLOOKUP(A38,Data!$A$3:$AD$81,30,FALSE)*IF(D38="Pri",SLCN_PRI,SLCN_SEC))</f>
        <v>0</v>
      </c>
      <c r="O38" s="304">
        <f t="shared" si="4"/>
        <v>172960</v>
      </c>
      <c r="P38" s="159">
        <f t="shared" si="31"/>
        <v>7206.666666666667</v>
      </c>
      <c r="Q38" s="160">
        <f>VLOOKUP($A38,MFG!$A$7:$AC$85,29,FALSE)*VLOOKUP($A38,Data!$A$4:$E$81,5,FALSE)</f>
        <v>0</v>
      </c>
      <c r="R38" s="167">
        <f t="shared" si="5"/>
        <v>172960</v>
      </c>
      <c r="S38" s="162"/>
      <c r="T38" s="255">
        <f>_xlfn.IFNA(VLOOKUP(A38,'2025-26 Budget Share'!$A$5:$W$62,17,FALSE),0)</f>
        <v>166432</v>
      </c>
      <c r="U38" s="305">
        <f t="shared" si="1"/>
        <v>6528</v>
      </c>
      <c r="V38" s="305">
        <f t="shared" si="32"/>
        <v>7206.666666666667</v>
      </c>
      <c r="W38" s="305">
        <f>_xlfn.IFNA(VLOOKUP(A38,'2025-26 Budget Share'!$A$5:$W$62,21,FALSE),0)</f>
        <v>6934.666666666667</v>
      </c>
      <c r="X38" s="256">
        <f t="shared" si="6"/>
        <v>272</v>
      </c>
      <c r="Y38" s="446">
        <f>_xlfn.XLOOKUP(A38,Data!$D$87:$D$164,Data!$F$87:$F$164)*'Budget Shares'!E38</f>
        <v>8493.119999999999</v>
      </c>
      <c r="Z38" s="163"/>
      <c r="AA38" s="163">
        <f t="shared" si="33"/>
        <v>0</v>
      </c>
      <c r="AB38" s="163"/>
      <c r="AC38" s="102"/>
      <c r="AD38" s="102"/>
      <c r="AE38" s="102"/>
      <c r="AF38" s="102"/>
      <c r="AG38" s="102"/>
      <c r="AH38" s="102"/>
      <c r="AI38" s="102"/>
      <c r="AJ38" s="102"/>
      <c r="AK38" s="102"/>
      <c r="AL38" s="102"/>
      <c r="AM38" s="102"/>
      <c r="AN38" s="102"/>
      <c r="AO38" s="102"/>
    </row>
    <row r="39" spans="1:41">
      <c r="A39" s="164">
        <v>8502534</v>
      </c>
      <c r="B39" s="306" t="s">
        <v>20</v>
      </c>
      <c r="C39" s="147" t="str">
        <f>VLOOKUP(RIGHT(A39,4)*1,APN!A:C,3,FALSE)</f>
        <v>Maintained</v>
      </c>
      <c r="D39" s="147" t="str">
        <f>VLOOKUP(A39,Data!$A$3:$I$81,9,FALSE)</f>
        <v>PRI</v>
      </c>
      <c r="E39" s="165">
        <f>VLOOKUP(A39,Data!A:E,5,FALSE)</f>
        <v>23</v>
      </c>
      <c r="F39" s="147" t="str">
        <f>VLOOKUP(A39,Data!$A$3:$J$81,10,FALSE)</f>
        <v>SLCN</v>
      </c>
      <c r="G39" s="147" t="s">
        <v>141</v>
      </c>
      <c r="H39" s="295"/>
      <c r="I39" s="604">
        <f>VLOOKUP(A39,Data!A:E,5,FALSE)*place</f>
        <v>138000</v>
      </c>
      <c r="J39" s="609">
        <f>IFERROR(VLOOKUP(A39,'NOR Special Units'!$B:$AF,31,FALSE)*Values!$D$28,0)</f>
        <v>0</v>
      </c>
      <c r="K39" s="607">
        <f>VLOOKUP(A39,Data!A:E,5,FALSE)*legacy</f>
        <v>12580.321418511001</v>
      </c>
      <c r="L39" s="428" cm="1">
        <f t="array" ref="L39">INDEX(Values!$D$1:$D$985,MATCH(1,(Values!$B$1:$B$985=F39)*(Values!$C$1:$C$985=D39),0))*VLOOKUP(A39,Data!$A$1:$F$1029,6,FALSE)</f>
        <v>78840</v>
      </c>
      <c r="M39" s="157">
        <f>(VLOOKUP(A39,Data!$A$3:$X$81,18,FALSE)*IF(D39="Pri",TACT_PRI,TACT_SEC))+(VLOOKUP(A39,Data!$A$3:$X$81,19,FALSE)*IF(D39="Pri",SIGN_PRI,SIGN_SEC))+(VLOOKUP(A39,Data!$A$3:$X$81,20,FALSE)*IF(D39="Pri",NA_PRI,NA_SEC))+(VLOOKUP(A39,Data!$A$3:$X$81,21,FALSE)*IF(D39="Pri",asd_pri,asd_sec))+(VLOOKUP(A39,Data!$A$3:$X$81,22,FALSE)*IF(D39="Pri",MLD_PRI,MLD_SEC)+VLOOKUP(A39,Data!$A$3:$X$81,23,FALSE)*IF(D39="Pri",SEMH_PRI,SEMH_SEC))+(VLOOKUP(A39,Data!$A$3:$X$81,24,FALSE)*IF(D39="Pri",SLCN_PRI,SLCN_SEC))</f>
        <v>88864</v>
      </c>
      <c r="N39" s="157">
        <f>(VLOOKUP(A39,Data!$A$3:$AD$81,26,FALSE)*IF(D39="Pri",NA_PRI,NA_SEC))+(VLOOKUP(A39,Data!$A$3:$AD$81,27,FALSE)*IF(D39="Pri",asd_pri,asd_sec))+(VLOOKUP(A39,Data!$A$3:$AD$81,28,FALSE)*IF(D39="Pri",MLD_PRI,MLD_SEC)+VLOOKUP(A39,Data!$A$3:$AD$81,29,FALSE)*IF(D39="Pri",SEMH_PRI,SEMH_SEC))+(VLOOKUP(A39,Data!$A$3:$AD$81,30,FALSE)*IF(D39="Pri",SLCN_PRI,SLCN_SEC))</f>
        <v>0</v>
      </c>
      <c r="O39" s="304">
        <f t="shared" si="4"/>
        <v>167704</v>
      </c>
      <c r="P39" s="159">
        <f t="shared" si="31"/>
        <v>7291.478260869565</v>
      </c>
      <c r="Q39" s="160">
        <f>VLOOKUP($A39,MFG!$A$7:$AC$85,29,FALSE)*VLOOKUP($A39,Data!$A$4:$E$81,5,FALSE)</f>
        <v>0</v>
      </c>
      <c r="R39" s="167">
        <f t="shared" si="5"/>
        <v>167704</v>
      </c>
      <c r="S39" s="162"/>
      <c r="T39" s="255">
        <f>_xlfn.IFNA(VLOOKUP(A39,'2025-26 Budget Share'!$A$5:$W$62,17,FALSE),0)</f>
        <v>161408</v>
      </c>
      <c r="U39" s="305">
        <f t="shared" si="1"/>
        <v>6296</v>
      </c>
      <c r="V39" s="305">
        <f t="shared" si="32"/>
        <v>7291.478260869565</v>
      </c>
      <c r="W39" s="305">
        <f>_xlfn.IFNA(VLOOKUP(A39,'2025-26 Budget Share'!$A$5:$W$62,21,FALSE),0)</f>
        <v>7017.739130434783</v>
      </c>
      <c r="X39" s="256">
        <f t="shared" si="6"/>
        <v>273.73913043478206</v>
      </c>
      <c r="Y39" s="446">
        <f>_xlfn.XLOOKUP(A39,Data!$D$87:$D$164,Data!$F$87:$F$164)*'Budget Shares'!E39</f>
        <v>8645.93</v>
      </c>
      <c r="Z39" s="163"/>
      <c r="AA39" s="163">
        <f t="shared" si="33"/>
        <v>0</v>
      </c>
      <c r="AB39" s="163"/>
      <c r="AC39" s="102"/>
      <c r="AD39" s="102"/>
      <c r="AE39" s="102"/>
      <c r="AF39" s="102"/>
      <c r="AG39" s="102"/>
      <c r="AH39" s="102"/>
      <c r="AI39" s="102"/>
      <c r="AJ39" s="102"/>
      <c r="AK39" s="102"/>
      <c r="AL39" s="102"/>
      <c r="AM39" s="102"/>
      <c r="AN39" s="102"/>
      <c r="AO39" s="102"/>
    </row>
    <row r="40" spans="1:41">
      <c r="A40" s="164">
        <v>8502732</v>
      </c>
      <c r="B40" s="306" t="s">
        <v>21</v>
      </c>
      <c r="C40" s="147" t="str">
        <f>VLOOKUP(RIGHT(A40,4)*1,APN!A:C,3,FALSE)</f>
        <v>Maintained</v>
      </c>
      <c r="D40" s="147" t="str">
        <f>VLOOKUP(A40,Data!$A$3:$I$81,9,FALSE)</f>
        <v>PRI</v>
      </c>
      <c r="E40" s="165">
        <f>VLOOKUP(A40,Data!A:E,5,FALSE)</f>
        <v>6</v>
      </c>
      <c r="F40" s="147" t="str">
        <f>VLOOKUP(A40,Data!$A$3:$J$81,10,FALSE)</f>
        <v>HI</v>
      </c>
      <c r="G40" s="147"/>
      <c r="H40" s="295"/>
      <c r="I40" s="604">
        <f>VLOOKUP(A40,Data!A:E,5,FALSE)*place</f>
        <v>36000</v>
      </c>
      <c r="J40" s="609">
        <f>IFERROR(VLOOKUP(A40,'NOR Special Units'!$B:$AF,31,FALSE)*Values!$D$28,0)</f>
        <v>4000</v>
      </c>
      <c r="K40" s="607">
        <f>VLOOKUP(A40,Data!A:E,5,FALSE)*legacy</f>
        <v>3281.8229787420005</v>
      </c>
      <c r="L40" s="428" cm="1">
        <f t="array" ref="L40">INDEX(Values!$D$1:$D$985,MATCH(1,(Values!$B$1:$B$985=F40)*(Values!$C$1:$C$985=D40),0))*VLOOKUP(A40,Data!$A$1:$F$1029,6,FALSE)</f>
        <v>52206</v>
      </c>
      <c r="M40" s="157">
        <f>(VLOOKUP(A40,Data!$A$3:$X$81,18,FALSE)*IF(D40="Pri",TACT_PRI,TACT_SEC))+(VLOOKUP(A40,Data!$A$3:$X$81,19,FALSE)*IF(D40="Pri",SIGN_PRI,SIGN_SEC))+(VLOOKUP(A40,Data!$A$3:$X$81,20,FALSE)*IF(D40="Pri",NA_PRI,NA_SEC))+(VLOOKUP(A40,Data!$A$3:$X$81,21,FALSE)*IF(D40="Pri",asd_pri,asd_sec))+(VLOOKUP(A40,Data!$A$3:$X$81,22,FALSE)*IF(D40="Pri",MLD_PRI,MLD_SEC)+VLOOKUP(A40,Data!$A$3:$X$81,23,FALSE)*IF(D40="Pri",SEMH_PRI,SEMH_SEC))+(VLOOKUP(A40,Data!$A$3:$X$81,24,FALSE)*IF(D40="Pri",SLCN_PRI,SLCN_SEC))</f>
        <v>20385.599999999999</v>
      </c>
      <c r="N40" s="157">
        <f>(VLOOKUP(A40,Data!$A$3:$AD$81,26,FALSE)*IF(D40="Pri",NA_PRI,NA_SEC))+(VLOOKUP(A40,Data!$A$3:$AD$81,27,FALSE)*IF(D40="Pri",asd_pri,asd_sec))+(VLOOKUP(A40,Data!$A$3:$AD$81,28,FALSE)*IF(D40="Pri",MLD_PRI,MLD_SEC)+VLOOKUP(A40,Data!$A$3:$AD$81,29,FALSE)*IF(D40="Pri",SEMH_PRI,SEMH_SEC))+(VLOOKUP(A40,Data!$A$3:$AD$81,30,FALSE)*IF(D40="Pri",SLCN_PRI,SLCN_SEC))</f>
        <v>0</v>
      </c>
      <c r="O40" s="304">
        <f t="shared" si="4"/>
        <v>72591.600000000006</v>
      </c>
      <c r="P40" s="159">
        <f t="shared" si="31"/>
        <v>12098.6</v>
      </c>
      <c r="Q40" s="160">
        <f>VLOOKUP($A40,MFG!$A$7:$AC$85,29,FALSE)*VLOOKUP($A40,Data!$A$4:$E$81,5,FALSE)</f>
        <v>0</v>
      </c>
      <c r="R40" s="167">
        <f t="shared" si="5"/>
        <v>72591.600000000006</v>
      </c>
      <c r="S40" s="162"/>
      <c r="T40" s="255">
        <f>_xlfn.IFNA(VLOOKUP(A40,'2025-26 Budget Share'!$A$5:$W$62,17,FALSE),0)</f>
        <v>75345</v>
      </c>
      <c r="U40" s="305">
        <f t="shared" si="1"/>
        <v>-2753.3999999999942</v>
      </c>
      <c r="V40" s="305">
        <f t="shared" si="32"/>
        <v>12098.6</v>
      </c>
      <c r="W40" s="305">
        <f>_xlfn.IFNA(VLOOKUP(A40,'2025-26 Budget Share'!$A$5:$W$62,21,FALSE),0)</f>
        <v>12557.5</v>
      </c>
      <c r="X40" s="256">
        <f t="shared" si="6"/>
        <v>-458.89999999999964</v>
      </c>
      <c r="Y40" s="446">
        <f>_xlfn.XLOOKUP(A40,Data!$D$87:$D$164,Data!$F$87:$F$164)*'Budget Shares'!E40</f>
        <v>4375.0200000000004</v>
      </c>
      <c r="Z40" s="163"/>
      <c r="AA40" s="163">
        <f t="shared" si="33"/>
        <v>0</v>
      </c>
      <c r="AB40" s="163"/>
      <c r="AC40" s="102"/>
      <c r="AD40" s="102"/>
      <c r="AE40" s="102"/>
      <c r="AF40" s="102"/>
      <c r="AG40" s="102"/>
      <c r="AH40" s="102"/>
      <c r="AI40" s="102"/>
      <c r="AJ40" s="102"/>
      <c r="AK40" s="102"/>
      <c r="AL40" s="102"/>
      <c r="AM40" s="102"/>
      <c r="AN40" s="102"/>
      <c r="AO40" s="102"/>
    </row>
    <row r="41" spans="1:41">
      <c r="A41" s="164">
        <v>8502774</v>
      </c>
      <c r="B41" s="306" t="s">
        <v>22</v>
      </c>
      <c r="C41" s="147" t="str">
        <f>VLOOKUP(RIGHT(A41,4)*1,APN!A:C,3,FALSE)</f>
        <v>Maintained</v>
      </c>
      <c r="D41" s="147" t="str">
        <f>VLOOKUP(A41,Data!$A$3:$I$81,9,FALSE)</f>
        <v>PRI</v>
      </c>
      <c r="E41" s="165">
        <f>VLOOKUP(A41,Data!A:E,5,FALSE)</f>
        <v>24</v>
      </c>
      <c r="F41" s="147" t="str">
        <f>VLOOKUP(A41,Data!$A$3:$J$81,10,FALSE)</f>
        <v>SLCN</v>
      </c>
      <c r="G41" s="147" t="s">
        <v>141</v>
      </c>
      <c r="H41" s="295"/>
      <c r="I41" s="604">
        <f>VLOOKUP(A41,Data!A:E,5,FALSE)*place</f>
        <v>144000</v>
      </c>
      <c r="J41" s="609">
        <f>IFERROR(VLOOKUP(A41,'NOR Special Units'!$B:$AF,31,FALSE)*Values!$D$28,0)</f>
        <v>0</v>
      </c>
      <c r="K41" s="607">
        <f>VLOOKUP(A41,Data!A:E,5,FALSE)*legacy</f>
        <v>13127.291914968002</v>
      </c>
      <c r="L41" s="428" cm="1">
        <f t="array" ref="L41">INDEX(Values!$D$1:$D$985,MATCH(1,(Values!$B$1:$B$985=F41)*(Values!$C$1:$C$985=D41),0))*VLOOKUP(A41,Data!$A$1:$F$1029,6,FALSE)</f>
        <v>59568</v>
      </c>
      <c r="M41" s="157">
        <f>(VLOOKUP(A41,Data!$A$3:$X$81,18,FALSE)*IF(D41="Pri",TACT_PRI,TACT_SEC))+(VLOOKUP(A41,Data!$A$3:$X$81,19,FALSE)*IF(D41="Pri",SIGN_PRI,SIGN_SEC))+(VLOOKUP(A41,Data!$A$3:$X$81,20,FALSE)*IF(D41="Pri",NA_PRI,NA_SEC))+(VLOOKUP(A41,Data!$A$3:$X$81,21,FALSE)*IF(D41="Pri",asd_pri,asd_sec))+(VLOOKUP(A41,Data!$A$3:$X$81,22,FALSE)*IF(D41="Pri",MLD_PRI,MLD_SEC)+VLOOKUP(A41,Data!$A$3:$X$81,23,FALSE)*IF(D41="Pri",SEMH_PRI,SEMH_SEC))+(VLOOKUP(A41,Data!$A$3:$X$81,24,FALSE)*IF(D41="Pri",SLCN_PRI,SLCN_SEC))</f>
        <v>140701.33333333331</v>
      </c>
      <c r="N41" s="157">
        <f>(VLOOKUP(A41,Data!$A$3:$AD$81,26,FALSE)*IF(D41="Pri",NA_PRI,NA_SEC))+(VLOOKUP(A41,Data!$A$3:$AD$81,27,FALSE)*IF(D41="Pri",asd_pri,asd_sec))+(VLOOKUP(A41,Data!$A$3:$AD$81,28,FALSE)*IF(D41="Pri",MLD_PRI,MLD_SEC)+VLOOKUP(A41,Data!$A$3:$AD$81,29,FALSE)*IF(D41="Pri",SEMH_PRI,SEMH_SEC))+(VLOOKUP(A41,Data!$A$3:$AD$81,30,FALSE)*IF(D41="Pri",SLCN_PRI,SLCN_SEC))</f>
        <v>0</v>
      </c>
      <c r="O41" s="304">
        <f t="shared" si="4"/>
        <v>200269.33333333331</v>
      </c>
      <c r="P41" s="159">
        <f t="shared" si="31"/>
        <v>8344.5555555555547</v>
      </c>
      <c r="Q41" s="160">
        <f>VLOOKUP($A41,MFG!$A$7:$AC$85,29,FALSE)*VLOOKUP($A41,Data!$A$4:$E$81,5,FALSE)</f>
        <v>0</v>
      </c>
      <c r="R41" s="167">
        <f t="shared" si="5"/>
        <v>200269.33333333331</v>
      </c>
      <c r="S41" s="162"/>
      <c r="T41" s="255">
        <f>_xlfn.IFNA(VLOOKUP(A41,'2025-26 Budget Share'!$A$5:$W$62,17,FALSE),0)</f>
        <v>166432</v>
      </c>
      <c r="U41" s="305">
        <f t="shared" si="1"/>
        <v>33837.333333333314</v>
      </c>
      <c r="V41" s="305">
        <f t="shared" si="32"/>
        <v>8344.5555555555547</v>
      </c>
      <c r="W41" s="305">
        <f>_xlfn.IFNA(VLOOKUP(A41,'2025-26 Budget Share'!$A$5:$W$62,21,FALSE),0)</f>
        <v>6934.666666666667</v>
      </c>
      <c r="X41" s="256">
        <f t="shared" si="6"/>
        <v>1409.8888888888878</v>
      </c>
      <c r="Y41" s="446">
        <f>_xlfn.XLOOKUP(A41,Data!$D$87:$D$164,Data!$F$87:$F$164)*'Budget Shares'!E41</f>
        <v>10823.68</v>
      </c>
      <c r="Z41" s="163"/>
      <c r="AA41" s="163">
        <f t="shared" si="33"/>
        <v>0</v>
      </c>
      <c r="AB41" s="163"/>
      <c r="AC41" s="102"/>
      <c r="AD41" s="102"/>
      <c r="AE41" s="102"/>
      <c r="AF41" s="102"/>
      <c r="AG41" s="102"/>
      <c r="AH41" s="102"/>
      <c r="AI41" s="102"/>
      <c r="AJ41" s="102"/>
      <c r="AK41" s="102"/>
      <c r="AL41" s="102"/>
      <c r="AM41" s="102"/>
      <c r="AN41" s="102"/>
      <c r="AO41" s="102"/>
    </row>
    <row r="42" spans="1:41">
      <c r="A42" s="164">
        <v>8502776</v>
      </c>
      <c r="B42" s="306" t="s">
        <v>23</v>
      </c>
      <c r="C42" s="147" t="str">
        <f>VLOOKUP(RIGHT(A42,4)*1,APN!A:C,3,FALSE)</f>
        <v>Maintained</v>
      </c>
      <c r="D42" s="147" t="str">
        <f>VLOOKUP(A42,Data!$A$3:$I$81,9,FALSE)</f>
        <v>PRI</v>
      </c>
      <c r="E42" s="165">
        <f>VLOOKUP(A42,Data!A:E,5,FALSE)</f>
        <v>20.916666666666668</v>
      </c>
      <c r="F42" s="147" t="str">
        <f>VLOOKUP(A42,Data!$A$3:$J$81,10,FALSE)</f>
        <v>SEMH</v>
      </c>
      <c r="G42" s="147"/>
      <c r="H42" s="295"/>
      <c r="I42" s="604">
        <f>VLOOKUP(A42,Data!A:E,5,FALSE)*place</f>
        <v>125500</v>
      </c>
      <c r="J42" s="609">
        <f>IFERROR(VLOOKUP(A42,'NOR Special Units'!$B:$AF,31,FALSE)*Values!$D$28,0)</f>
        <v>11680</v>
      </c>
      <c r="K42" s="607">
        <f>VLOOKUP(A42,Data!A:E,5,FALSE)*legacy</f>
        <v>11440.799550892252</v>
      </c>
      <c r="L42" s="428" cm="1">
        <f t="array" ref="L42">INDEX(Values!$D$1:$D$985,MATCH(1,(Values!$B$1:$B$985=F42)*(Values!$C$1:$C$985=D42),0))*VLOOKUP(A42,Data!$A$1:$F$1029,6,FALSE)</f>
        <v>268528.16666666663</v>
      </c>
      <c r="M42" s="157">
        <f>(VLOOKUP(A42,Data!$A$3:$X$81,18,FALSE)*IF(D42="Pri",TACT_PRI,TACT_SEC))+(VLOOKUP(A42,Data!$A$3:$X$81,19,FALSE)*IF(D42="Pri",SIGN_PRI,SIGN_SEC))+(VLOOKUP(A42,Data!$A$3:$X$81,20,FALSE)*IF(D42="Pri",NA_PRI,NA_SEC))+(VLOOKUP(A42,Data!$A$3:$X$81,21,FALSE)*IF(D42="Pri",asd_pri,asd_sec))+(VLOOKUP(A42,Data!$A$3:$X$81,22,FALSE)*IF(D42="Pri",MLD_PRI,MLD_SEC)+VLOOKUP(A42,Data!$A$3:$X$81,23,FALSE)*IF(D42="Pri",SEMH_PRI,SEMH_SEC))+(VLOOKUP(A42,Data!$A$3:$X$81,24,FALSE)*IF(D42="Pri",SLCN_PRI,SLCN_SEC))</f>
        <v>0</v>
      </c>
      <c r="N42" s="157">
        <f>(VLOOKUP(A42,Data!$A$3:$AD$81,26,FALSE)*IF(D42="Pri",NA_PRI,NA_SEC))+(VLOOKUP(A42,Data!$A$3:$AD$81,27,FALSE)*IF(D42="Pri",asd_pri,asd_sec))+(VLOOKUP(A42,Data!$A$3:$AD$81,28,FALSE)*IF(D42="Pri",MLD_PRI,MLD_SEC)+VLOOKUP(A42,Data!$A$3:$AD$81,29,FALSE)*IF(D42="Pri",SEMH_PRI,SEMH_SEC))+(VLOOKUP(A42,Data!$A$3:$AD$81,30,FALSE)*IF(D42="Pri",SLCN_PRI,SLCN_SEC))</f>
        <v>0</v>
      </c>
      <c r="O42" s="304">
        <f t="shared" si="4"/>
        <v>268528.16666666663</v>
      </c>
      <c r="P42" s="159">
        <f t="shared" si="31"/>
        <v>12837.999999999998</v>
      </c>
      <c r="Q42" s="160">
        <f>VLOOKUP($A42,MFG!$A$7:$AC$85,29,FALSE)*VLOOKUP($A42,Data!$A$4:$E$81,5,FALSE)</f>
        <v>0</v>
      </c>
      <c r="R42" s="167">
        <f t="shared" si="5"/>
        <v>268528.16666666663</v>
      </c>
      <c r="S42" s="162"/>
      <c r="T42" s="255">
        <f>_xlfn.IFNA(VLOOKUP(A42,'2025-26 Budget Share'!$A$5:$W$62,17,FALSE),0)</f>
        <v>192975</v>
      </c>
      <c r="U42" s="305">
        <f t="shared" si="1"/>
        <v>75553.166666666628</v>
      </c>
      <c r="V42" s="305">
        <f t="shared" si="32"/>
        <v>12837.999999999998</v>
      </c>
      <c r="W42" s="305">
        <f>_xlfn.IFNA(VLOOKUP(A42,'2025-26 Budget Share'!$A$5:$W$62,21,FALSE),0)</f>
        <v>12450</v>
      </c>
      <c r="X42" s="256">
        <f t="shared" si="6"/>
        <v>387.99999999999818</v>
      </c>
      <c r="Y42" s="446">
        <f>_xlfn.XLOOKUP(A42,Data!$D$87:$D$164,Data!$F$87:$F$164)*'Budget Shares'!E42</f>
        <v>7477.920000000001</v>
      </c>
      <c r="Z42" s="163"/>
      <c r="AA42" s="163">
        <f t="shared" si="33"/>
        <v>0</v>
      </c>
      <c r="AB42" s="163"/>
      <c r="AC42" s="102" t="s">
        <v>147</v>
      </c>
      <c r="AD42" s="102">
        <f>SUMIFS(APN!L:L,APN!A:A,RIGHT(A42,4)*1,APN!H:H,"SEMH")</f>
        <v>20.916666666666664</v>
      </c>
      <c r="AE42" s="151">
        <f>AD42*6000</f>
        <v>125499.99999999999</v>
      </c>
      <c r="AF42" s="151">
        <f>AD42*4000</f>
        <v>83666.666666666657</v>
      </c>
      <c r="AG42" s="151">
        <f>IF(D42="PRI",SEMH_PRI,IF(D42="SEC",SEMH_SEC,0))*AD42</f>
        <v>268528.16666666663</v>
      </c>
      <c r="AH42" s="151">
        <f>_xlfn.XLOOKUP(A42,MFG!A:A,MFG!AC:AC)*AD42</f>
        <v>0</v>
      </c>
      <c r="AI42" s="151" t="e">
        <f>_xlfn.XLOOKUP(A42,Data!A:A,Data!#REF!)/_xlfn.XLOOKUP(A42,Data!A:A,Data!E:E)*AD42</f>
        <v>#REF!</v>
      </c>
      <c r="AJ42" s="151"/>
      <c r="AK42" s="151">
        <v>26346.44</v>
      </c>
      <c r="AL42" s="151" t="e">
        <f>SUM(AE42:AK42)</f>
        <v>#REF!</v>
      </c>
      <c r="AM42" s="151" t="e">
        <f>AL42/AD42</f>
        <v>#REF!</v>
      </c>
      <c r="AN42" s="151">
        <v>-121212.61</v>
      </c>
      <c r="AO42" s="151">
        <v>-140950.04</v>
      </c>
    </row>
    <row r="43" spans="1:41">
      <c r="A43" s="164">
        <v>8502777</v>
      </c>
      <c r="B43" s="306" t="s">
        <v>24</v>
      </c>
      <c r="C43" s="147" t="str">
        <f>VLOOKUP(RIGHT(A43,4)*1,APN!A:C,3,FALSE)</f>
        <v>Maintained</v>
      </c>
      <c r="D43" s="147" t="str">
        <f>VLOOKUP(A43,Data!$A$3:$I$81,9,FALSE)</f>
        <v>PRI</v>
      </c>
      <c r="E43" s="165">
        <f>VLOOKUP(A43,Data!A:E,5,FALSE)</f>
        <v>36</v>
      </c>
      <c r="F43" s="147" t="str">
        <f>VLOOKUP(A43,Data!$A$3:$J$81,10,FALSE)</f>
        <v>SLCN</v>
      </c>
      <c r="G43" s="147" t="s">
        <v>141</v>
      </c>
      <c r="H43" s="295"/>
      <c r="I43" s="604">
        <f>VLOOKUP(A43,Data!A:E,5,FALSE)*place</f>
        <v>216000</v>
      </c>
      <c r="J43" s="609">
        <f>IFERROR(VLOOKUP(A43,'NOR Special Units'!$B:$AF,31,FALSE)*Values!$D$28,0)</f>
        <v>0</v>
      </c>
      <c r="K43" s="607">
        <f>VLOOKUP(A43,Data!A:E,5,FALSE)*legacy</f>
        <v>19690.937872452003</v>
      </c>
      <c r="L43" s="428" cm="1">
        <f t="array" ref="L43">INDEX(Values!$D$1:$D$985,MATCH(1,(Values!$B$1:$B$985=F43)*(Values!$C$1:$C$985=D43),0))*VLOOKUP(A43,Data!$A$1:$F$1029,6,FALSE)</f>
        <v>6570</v>
      </c>
      <c r="M43" s="157">
        <f>(VLOOKUP(A43,Data!$A$3:$X$81,18,FALSE)*IF(D43="Pri",TACT_PRI,TACT_SEC))+(VLOOKUP(A43,Data!$A$3:$X$81,19,FALSE)*IF(D43="Pri",SIGN_PRI,SIGN_SEC))+(VLOOKUP(A43,Data!$A$3:$X$81,20,FALSE)*IF(D43="Pri",NA_PRI,NA_SEC))+(VLOOKUP(A43,Data!$A$3:$X$81,21,FALSE)*IF(D43="Pri",asd_pri,asd_sec))+(VLOOKUP(A43,Data!$A$3:$X$81,22,FALSE)*IF(D43="Pri",MLD_PRI,MLD_SEC)+VLOOKUP(A43,Data!$A$3:$X$81,23,FALSE)*IF(D43="Pri",SEMH_PRI,SEMH_SEC))+(VLOOKUP(A43,Data!$A$3:$X$81,24,FALSE)*IF(D43="Pri",SLCN_PRI,SLCN_SEC))</f>
        <v>386003</v>
      </c>
      <c r="N43" s="157">
        <f>(VLOOKUP(A43,Data!$A$3:$AD$81,26,FALSE)*IF(D43="Pri",NA_PRI,NA_SEC))+(VLOOKUP(A43,Data!$A$3:$AD$81,27,FALSE)*IF(D43="Pri",asd_pri,asd_sec))+(VLOOKUP(A43,Data!$A$3:$AD$81,28,FALSE)*IF(D43="Pri",MLD_PRI,MLD_SEC)+VLOOKUP(A43,Data!$A$3:$AD$81,29,FALSE)*IF(D43="Pri",SEMH_PRI,SEMH_SEC))+(VLOOKUP(A43,Data!$A$3:$AD$81,30,FALSE)*IF(D43="Pri",SLCN_PRI,SLCN_SEC))</f>
        <v>0</v>
      </c>
      <c r="O43" s="304">
        <f t="shared" si="4"/>
        <v>392573</v>
      </c>
      <c r="P43" s="159">
        <f t="shared" si="31"/>
        <v>10904.805555555555</v>
      </c>
      <c r="Q43" s="160">
        <f>VLOOKUP($A43,MFG!$A$7:$AC$85,29,FALSE)*VLOOKUP($A43,Data!$A$4:$E$81,5,FALSE)</f>
        <v>0</v>
      </c>
      <c r="R43" s="167">
        <f t="shared" si="5"/>
        <v>392573</v>
      </c>
      <c r="S43" s="162"/>
      <c r="T43" s="255">
        <f>_xlfn.IFNA(VLOOKUP(A43,'2025-26 Budget Share'!$A$5:$W$62,17,FALSE),0)</f>
        <v>303413.33333333337</v>
      </c>
      <c r="U43" s="305">
        <f t="shared" si="1"/>
        <v>89159.666666666628</v>
      </c>
      <c r="V43" s="305">
        <f t="shared" si="32"/>
        <v>10904.805555555555</v>
      </c>
      <c r="W43" s="305">
        <f>_xlfn.IFNA(VLOOKUP(A43,'2025-26 Budget Share'!$A$5:$W$62,21,FALSE),0)</f>
        <v>9408.1653746770044</v>
      </c>
      <c r="X43" s="256">
        <f t="shared" si="6"/>
        <v>1496.6401808785504</v>
      </c>
      <c r="Y43" s="446">
        <f>_xlfn.XLOOKUP(A43,Data!$D$87:$D$164,Data!$F$87:$F$164)*'Budget Shares'!E43</f>
        <v>19133.670000000002</v>
      </c>
      <c r="Z43" s="163"/>
      <c r="AA43" s="163">
        <f t="shared" si="33"/>
        <v>0</v>
      </c>
      <c r="AB43" s="163"/>
      <c r="AC43" s="102"/>
      <c r="AD43" s="102"/>
      <c r="AE43" s="102"/>
      <c r="AF43" s="102"/>
      <c r="AG43" s="102"/>
      <c r="AH43" s="102"/>
      <c r="AI43" s="102"/>
      <c r="AJ43" s="102"/>
      <c r="AK43" s="102"/>
      <c r="AL43" s="102"/>
      <c r="AM43" s="102"/>
      <c r="AN43" s="102"/>
      <c r="AO43" s="102"/>
    </row>
    <row r="44" spans="1:41">
      <c r="A44" s="164">
        <v>8503101</v>
      </c>
      <c r="B44" s="306" t="s">
        <v>25</v>
      </c>
      <c r="C44" s="147" t="str">
        <f>VLOOKUP(RIGHT(A44,4)*1,APN!A:C,3,FALSE)</f>
        <v>Maintained</v>
      </c>
      <c r="D44" s="147" t="str">
        <f>VLOOKUP(A44,Data!$A$3:$I$81,9,FALSE)</f>
        <v>PRI</v>
      </c>
      <c r="E44" s="165">
        <f>VLOOKUP(A44,Data!A:E,5,FALSE)</f>
        <v>14.000000000000002</v>
      </c>
      <c r="F44" s="147" t="str">
        <f>VLOOKUP(A44,Data!$A$3:$J$81,10,FALSE)</f>
        <v>HI</v>
      </c>
      <c r="G44" s="147"/>
      <c r="H44" s="295"/>
      <c r="I44" s="604">
        <f>VLOOKUP(A44,Data!A:E,5,FALSE)*place</f>
        <v>84000.000000000015</v>
      </c>
      <c r="J44" s="609">
        <f>IFERROR(VLOOKUP(A44,'NOR Special Units'!$B:$AF,31,FALSE)*Values!$D$28,0)</f>
        <v>12000</v>
      </c>
      <c r="K44" s="607">
        <f>VLOOKUP(A44,Data!A:E,5,FALSE)*legacy</f>
        <v>7657.586950398002</v>
      </c>
      <c r="L44" s="428" cm="1">
        <f t="array" ref="L44">INDEX(Values!$D$1:$D$985,MATCH(1,(Values!$B$1:$B$985=F44)*(Values!$C$1:$C$985=D44),0))*VLOOKUP(A44,Data!$A$1:$F$1029,6,FALSE)</f>
        <v>121814</v>
      </c>
      <c r="M44" s="157">
        <f>(VLOOKUP(A44,Data!$A$3:$X$81,18,FALSE)*IF(D44="Pri",TACT_PRI,TACT_SEC))+(VLOOKUP(A44,Data!$A$3:$X$81,19,FALSE)*IF(D44="Pri",SIGN_PRI,SIGN_SEC))+(VLOOKUP(A44,Data!$A$3:$X$81,20,FALSE)*IF(D44="Pri",NA_PRI,NA_SEC))+(VLOOKUP(A44,Data!$A$3:$X$81,21,FALSE)*IF(D44="Pri",asd_pri,asd_sec))+(VLOOKUP(A44,Data!$A$3:$X$81,22,FALSE)*IF(D44="Pri",MLD_PRI,MLD_SEC)+VLOOKUP(A44,Data!$A$3:$X$81,23,FALSE)*IF(D44="Pri",SEMH_PRI,SEMH_SEC))+(VLOOKUP(A44,Data!$A$3:$X$81,24,FALSE)*IF(D44="Pri",SLCN_PRI,SLCN_SEC))</f>
        <v>105665.36</v>
      </c>
      <c r="N44" s="157">
        <f>(VLOOKUP(A44,Data!$A$3:$AD$81,26,FALSE)*IF(D44="Pri",NA_PRI,NA_SEC))+(VLOOKUP(A44,Data!$A$3:$AD$81,27,FALSE)*IF(D44="Pri",asd_pri,asd_sec))+(VLOOKUP(A44,Data!$A$3:$AD$81,28,FALSE)*IF(D44="Pri",MLD_PRI,MLD_SEC)+VLOOKUP(A44,Data!$A$3:$AD$81,29,FALSE)*IF(D44="Pri",SEMH_PRI,SEMH_SEC))+(VLOOKUP(A44,Data!$A$3:$AD$81,30,FALSE)*IF(D44="Pri",SLCN_PRI,SLCN_SEC))</f>
        <v>0</v>
      </c>
      <c r="O44" s="304">
        <f t="shared" si="4"/>
        <v>227479.36</v>
      </c>
      <c r="P44" s="159">
        <f t="shared" si="31"/>
        <v>16248.525714285712</v>
      </c>
      <c r="Q44" s="160">
        <f>VLOOKUP($A44,MFG!$A$7:$AC$85,29,FALSE)*VLOOKUP($A44,Data!$A$4:$E$81,5,FALSE)</f>
        <v>0</v>
      </c>
      <c r="R44" s="167">
        <f t="shared" si="5"/>
        <v>227479.36</v>
      </c>
      <c r="S44" s="162"/>
      <c r="T44" s="255">
        <f>_xlfn.IFNA(VLOOKUP(A44,'2025-26 Budget Share'!$A$5:$W$62,17,FALSE),0)</f>
        <v>213989.21</v>
      </c>
      <c r="U44" s="305">
        <f t="shared" si="1"/>
        <v>13490.149999999994</v>
      </c>
      <c r="V44" s="305">
        <f t="shared" si="32"/>
        <v>16248.525714285712</v>
      </c>
      <c r="W44" s="305">
        <f>_xlfn.IFNA(VLOOKUP(A44,'2025-26 Budget Share'!$A$5:$W$62,21,FALSE),0)</f>
        <v>15284.943571428568</v>
      </c>
      <c r="X44" s="256">
        <f t="shared" si="6"/>
        <v>963.58214285714348</v>
      </c>
      <c r="Y44" s="446">
        <f>_xlfn.XLOOKUP(A44,Data!$D$87:$D$164,Data!$F$87:$F$164)*'Budget Shares'!E44</f>
        <v>9407.3000000000011</v>
      </c>
      <c r="Z44" s="163"/>
      <c r="AA44" s="163">
        <f t="shared" si="33"/>
        <v>0</v>
      </c>
      <c r="AB44" s="163"/>
      <c r="AC44" s="102"/>
      <c r="AD44" s="102"/>
      <c r="AE44" s="102"/>
      <c r="AF44" s="102"/>
      <c r="AG44" s="102"/>
      <c r="AH44" s="102"/>
      <c r="AI44" s="102"/>
      <c r="AJ44" s="102"/>
      <c r="AK44" s="102"/>
      <c r="AL44" s="102"/>
      <c r="AM44" s="102"/>
      <c r="AN44" s="102"/>
      <c r="AO44" s="102"/>
    </row>
    <row r="45" spans="1:41">
      <c r="A45" s="164">
        <v>8503124</v>
      </c>
      <c r="B45" s="306" t="s">
        <v>163</v>
      </c>
      <c r="C45" s="147" t="str">
        <f>VLOOKUP(RIGHT(A45,4)*1,APN!A:C,3,FALSE)</f>
        <v>Maintained</v>
      </c>
      <c r="D45" s="147" t="str">
        <f>VLOOKUP(A45,Data!$A$3:$I$81,9,FALSE)</f>
        <v>PRI</v>
      </c>
      <c r="E45" s="165">
        <f>VLOOKUP(A45,Data!A:E,5,FALSE)</f>
        <v>7.9999999999999991</v>
      </c>
      <c r="F45" s="147" t="str">
        <f>VLOOKUP(A45,Data!$A$3:$J$81,10,FALSE)</f>
        <v>SEMH</v>
      </c>
      <c r="G45" s="147"/>
      <c r="H45" s="295"/>
      <c r="I45" s="604">
        <f>VLOOKUP(A45,Data!A:E,5,FALSE)*place</f>
        <v>47999.999999999993</v>
      </c>
      <c r="J45" s="609">
        <f>IFERROR(VLOOKUP(A45,'NOR Special Units'!$B:$AF,31,FALSE)*Values!$D$28,0)</f>
        <v>0</v>
      </c>
      <c r="K45" s="607">
        <f>VLOOKUP(A45,Data!A:E,5,FALSE)*legacy</f>
        <v>4375.7639716559997</v>
      </c>
      <c r="L45" s="428" cm="1">
        <f t="array" ref="L45">INDEX(Values!$D$1:$D$985,MATCH(1,(Values!$B$1:$B$985=F45)*(Values!$C$1:$C$985=D45),0))*VLOOKUP(A45,Data!$A$1:$F$1029,6,FALSE)</f>
        <v>102704</v>
      </c>
      <c r="M45" s="157">
        <f>(VLOOKUP(A45,Data!$A$3:$X$81,18,FALSE)*IF(D45="Pri",TACT_PRI,TACT_SEC))+(VLOOKUP(A45,Data!$A$3:$X$81,19,FALSE)*IF(D45="Pri",SIGN_PRI,SIGN_SEC))+(VLOOKUP(A45,Data!$A$3:$X$81,20,FALSE)*IF(D45="Pri",NA_PRI,NA_SEC))+(VLOOKUP(A45,Data!$A$3:$X$81,21,FALSE)*IF(D45="Pri",asd_pri,asd_sec))+(VLOOKUP(A45,Data!$A$3:$X$81,22,FALSE)*IF(D45="Pri",MLD_PRI,MLD_SEC)+VLOOKUP(A45,Data!$A$3:$X$81,23,FALSE)*IF(D45="Pri",SEMH_PRI,SEMH_SEC))+(VLOOKUP(A45,Data!$A$3:$X$81,24,FALSE)*IF(D45="Pri",SLCN_PRI,SLCN_SEC))</f>
        <v>0</v>
      </c>
      <c r="N45" s="157">
        <f>(VLOOKUP(A45,Data!$A$3:$AD$81,26,FALSE)*IF(D45="Pri",NA_PRI,NA_SEC))+(VLOOKUP(A45,Data!$A$3:$AD$81,27,FALSE)*IF(D45="Pri",asd_pri,asd_sec))+(VLOOKUP(A45,Data!$A$3:$AD$81,28,FALSE)*IF(D45="Pri",MLD_PRI,MLD_SEC)+VLOOKUP(A45,Data!$A$3:$AD$81,29,FALSE)*IF(D45="Pri",SEMH_PRI,SEMH_SEC))+(VLOOKUP(A45,Data!$A$3:$AD$81,30,FALSE)*IF(D45="Pri",SLCN_PRI,SLCN_SEC))</f>
        <v>0</v>
      </c>
      <c r="O45" s="304">
        <f t="shared" si="4"/>
        <v>102704</v>
      </c>
      <c r="P45" s="159">
        <f t="shared" si="31"/>
        <v>12838.000000000002</v>
      </c>
      <c r="Q45" s="160">
        <f>VLOOKUP($A45,MFG!$A$7:$AC$85,29,FALSE)*VLOOKUP($A45,Data!$A$4:$E$81,5,FALSE)</f>
        <v>0</v>
      </c>
      <c r="R45" s="167">
        <f t="shared" si="5"/>
        <v>102704</v>
      </c>
      <c r="S45" s="162"/>
      <c r="T45" s="255">
        <f>_xlfn.IFNA(VLOOKUP(A45,'2025-26 Budget Share'!$A$5:$W$62,17,FALSE),0)</f>
        <v>99600</v>
      </c>
      <c r="U45" s="305">
        <f t="shared" si="1"/>
        <v>3104</v>
      </c>
      <c r="V45" s="305">
        <f t="shared" si="32"/>
        <v>12838.000000000002</v>
      </c>
      <c r="W45" s="305">
        <f>_xlfn.IFNA(VLOOKUP(A45,'2025-26 Budget Share'!$A$5:$W$62,21,FALSE),0)</f>
        <v>12450.000000000002</v>
      </c>
      <c r="X45" s="256">
        <f t="shared" ref="X45:X48" si="34">V45-W45</f>
        <v>388</v>
      </c>
      <c r="Y45" s="446">
        <f>_xlfn.XLOOKUP(A45,Data!$D$87:$D$164,Data!$F$87:$F$164)*'Budget Shares'!E45</f>
        <v>2860.0799999999995</v>
      </c>
      <c r="Z45" s="163"/>
      <c r="AA45" s="163">
        <f t="shared" si="33"/>
        <v>0</v>
      </c>
      <c r="AB45" s="163"/>
      <c r="AC45" s="102" t="s">
        <v>147</v>
      </c>
      <c r="AD45" s="102">
        <f>SUMIFS(APN!L:L,APN!A:A,RIGHT(A45,4)*1,APN!H:H,"SEMH")</f>
        <v>8</v>
      </c>
      <c r="AE45" s="151">
        <f>AD45*6000</f>
        <v>48000</v>
      </c>
      <c r="AF45" s="151">
        <f>AD45*4000</f>
        <v>32000</v>
      </c>
      <c r="AG45" s="151">
        <f>IF(D45="PRI",SEMH_PRI,IF(D45="SEC",SEMH_SEC,0))*AD45</f>
        <v>102704</v>
      </c>
      <c r="AH45" s="151">
        <f>_xlfn.XLOOKUP(A45,MFG!A:A,MFG!AC:AC)*AD45</f>
        <v>0</v>
      </c>
      <c r="AI45" s="151" t="e">
        <f>_xlfn.XLOOKUP(A45,Data!A:A,Data!#REF!)/_xlfn.XLOOKUP(A45,Data!A:A,Data!E:E)*AD45</f>
        <v>#REF!</v>
      </c>
      <c r="AJ45" s="151"/>
      <c r="AK45" s="151"/>
      <c r="AL45" s="151" t="e">
        <f>SUM(AE45:AK45)</f>
        <v>#REF!</v>
      </c>
      <c r="AM45" s="151" t="e">
        <f>AL45/AD45</f>
        <v>#REF!</v>
      </c>
      <c r="AN45" s="151">
        <v>-135183.44</v>
      </c>
      <c r="AO45" s="151">
        <v>-111461.81</v>
      </c>
    </row>
    <row r="46" spans="1:41">
      <c r="A46" s="164">
        <v>8503192</v>
      </c>
      <c r="B46" s="306" t="s">
        <v>164</v>
      </c>
      <c r="C46" s="147" t="str">
        <f>VLOOKUP(RIGHT(A46,4)*1,APN!A:C,3,FALSE)</f>
        <v>Maintained</v>
      </c>
      <c r="D46" s="147" t="str">
        <f>VLOOKUP(A46,Data!$A$3:$I$81,9,FALSE)</f>
        <v>PRI</v>
      </c>
      <c r="E46" s="165">
        <f>VLOOKUP(A46,Data!A:E,5,FALSE)</f>
        <v>7.9999999999999991</v>
      </c>
      <c r="F46" s="147" t="str">
        <f>VLOOKUP(A46,Data!$A$3:$J$81,10,FALSE)</f>
        <v>ASC</v>
      </c>
      <c r="G46" s="147"/>
      <c r="H46" s="295"/>
      <c r="I46" s="604">
        <f>VLOOKUP(A46,Data!A:E,5,FALSE)*place</f>
        <v>47999.999999999993</v>
      </c>
      <c r="J46" s="609">
        <f>IFERROR(VLOOKUP(A46,'NOR Special Units'!$B:$AF,31,FALSE)*Values!$D$28,0)</f>
        <v>12000</v>
      </c>
      <c r="K46" s="607">
        <f>VLOOKUP(A46,Data!A:E,5,FALSE)*legacy</f>
        <v>4375.7639716559997</v>
      </c>
      <c r="L46" s="428" cm="1">
        <f t="array" ref="L46">INDEX(Values!$D$1:$D$985,MATCH(1,(Values!$B$1:$B$985=F46)*(Values!$C$1:$C$985=D46),0))*VLOOKUP(A46,Data!$A$1:$F$1029,6,FALSE)</f>
        <v>88864</v>
      </c>
      <c r="M46" s="157">
        <f>(VLOOKUP(A46,Data!$A$3:$X$81,18,FALSE)*IF(D46="Pri",TACT_PRI,TACT_SEC))+(VLOOKUP(A46,Data!$A$3:$X$81,19,FALSE)*IF(D46="Pri",SIGN_PRI,SIGN_SEC))+(VLOOKUP(A46,Data!$A$3:$X$81,20,FALSE)*IF(D46="Pri",NA_PRI,NA_SEC))+(VLOOKUP(A46,Data!$A$3:$X$81,21,FALSE)*IF(D46="Pri",asd_pri,asd_sec))+(VLOOKUP(A46,Data!$A$3:$X$81,22,FALSE)*IF(D46="Pri",MLD_PRI,MLD_SEC)+VLOOKUP(A46,Data!$A$3:$X$81,23,FALSE)*IF(D46="Pri",SEMH_PRI,SEMH_SEC))+(VLOOKUP(A46,Data!$A$3:$X$81,24,FALSE)*IF(D46="Pri",SLCN_PRI,SLCN_SEC))</f>
        <v>0</v>
      </c>
      <c r="N46" s="157">
        <f>(VLOOKUP(A46,Data!$A$3:$AD$81,26,FALSE)*IF(D46="Pri",NA_PRI,NA_SEC))+(VLOOKUP(A46,Data!$A$3:$AD$81,27,FALSE)*IF(D46="Pri",asd_pri,asd_sec))+(VLOOKUP(A46,Data!$A$3:$AD$81,28,FALSE)*IF(D46="Pri",MLD_PRI,MLD_SEC)+VLOOKUP(A46,Data!$A$3:$AD$81,29,FALSE)*IF(D46="Pri",SEMH_PRI,SEMH_SEC))+(VLOOKUP(A46,Data!$A$3:$AD$81,30,FALSE)*IF(D46="Pri",SLCN_PRI,SLCN_SEC))</f>
        <v>0</v>
      </c>
      <c r="O46" s="304">
        <f>L46+M46+N46</f>
        <v>88864</v>
      </c>
      <c r="P46" s="159">
        <f t="shared" si="31"/>
        <v>11108.000000000002</v>
      </c>
      <c r="Q46" s="160">
        <f>VLOOKUP($A46,MFG!$A$7:$AC$85,29,FALSE)*VLOOKUP($A46,Data!$A$4:$E$81,5,FALSE)</f>
        <v>0</v>
      </c>
      <c r="R46" s="167">
        <f>O46+Q46</f>
        <v>88864</v>
      </c>
      <c r="S46" s="162"/>
      <c r="T46" s="255">
        <f>_xlfn.IFNA(VLOOKUP(A46,'2025-26 Budget Share'!$A$5:$W$62,17,FALSE),0)</f>
        <v>50194.666666667021</v>
      </c>
      <c r="U46" s="305">
        <f>R46-T46</f>
        <v>38669.333333332979</v>
      </c>
      <c r="V46" s="305">
        <f t="shared" si="32"/>
        <v>11108.000000000002</v>
      </c>
      <c r="W46" s="305">
        <f>_xlfn.IFNA(VLOOKUP(A46,'2025-26 Budget Share'!$A$5:$W$62,21,FALSE),0)</f>
        <v>10756.000000000076</v>
      </c>
      <c r="X46" s="256">
        <f>V46-W46</f>
        <v>351.99999999992542</v>
      </c>
      <c r="Y46" s="446">
        <f>_xlfn.XLOOKUP(A46,Data!$D$87:$D$164,Data!$F$87:$F$164)*'Budget Shares'!E46</f>
        <v>4303.0399999999991</v>
      </c>
      <c r="Z46" s="163"/>
      <c r="AA46" s="163">
        <f t="shared" si="33"/>
        <v>0</v>
      </c>
      <c r="AB46" s="163"/>
      <c r="AC46" s="102"/>
      <c r="AD46" s="102"/>
      <c r="AE46" s="151"/>
      <c r="AF46" s="151"/>
      <c r="AG46" s="151"/>
      <c r="AH46" s="151"/>
      <c r="AI46" s="151"/>
      <c r="AJ46" s="151"/>
      <c r="AK46" s="151"/>
      <c r="AL46" s="151"/>
      <c r="AM46" s="151"/>
      <c r="AN46" s="151"/>
      <c r="AO46" s="151"/>
    </row>
    <row r="47" spans="1:41">
      <c r="A47" s="164">
        <v>8503197</v>
      </c>
      <c r="B47" s="306" t="s">
        <v>165</v>
      </c>
      <c r="C47" s="147" t="str">
        <f>VLOOKUP(RIGHT(A47,4)*1,APN!A:C,3,FALSE)</f>
        <v>Maintained</v>
      </c>
      <c r="D47" s="147" t="str">
        <f>VLOOKUP(A47,Data!$A$3:$I$81,9,FALSE)</f>
        <v>PRI</v>
      </c>
      <c r="E47" s="165">
        <f>VLOOKUP(A47,Data!A:E,5,FALSE)</f>
        <v>7.75</v>
      </c>
      <c r="F47" s="147" t="str">
        <f>VLOOKUP(A47,Data!$A$3:$J$81,10,FALSE)</f>
        <v>SEMH</v>
      </c>
      <c r="G47" s="147"/>
      <c r="H47" s="295"/>
      <c r="I47" s="604">
        <f>VLOOKUP(A47,Data!A:E,5,FALSE)*place</f>
        <v>46500</v>
      </c>
      <c r="J47" s="609">
        <f>IFERROR(VLOOKUP(A47,'NOR Special Units'!$B:$AF,31,FALSE)*Values!$D$28,0)</f>
        <v>31000</v>
      </c>
      <c r="K47" s="607">
        <f>VLOOKUP(A47,Data!A:E,5,FALSE)*legacy</f>
        <v>4239.0213475417504</v>
      </c>
      <c r="L47" s="428" cm="1">
        <f t="array" ref="L47">INDEX(Values!$D$1:$D$985,MATCH(1,(Values!$B$1:$B$985=F47)*(Values!$C$1:$C$985=D47),0))*VLOOKUP(A47,Data!$A$1:$F$1029,6,FALSE)</f>
        <v>99494.5</v>
      </c>
      <c r="M47" s="157">
        <f>(VLOOKUP(A47,Data!$A$3:$X$81,18,FALSE)*IF(D47="Pri",TACT_PRI,TACT_SEC))+(VLOOKUP(A47,Data!$A$3:$X$81,19,FALSE)*IF(D47="Pri",SIGN_PRI,SIGN_SEC))+(VLOOKUP(A47,Data!$A$3:$X$81,20,FALSE)*IF(D47="Pri",NA_PRI,NA_SEC))+(VLOOKUP(A47,Data!$A$3:$X$81,21,FALSE)*IF(D47="Pri",asd_pri,asd_sec))+(VLOOKUP(A47,Data!$A$3:$X$81,22,FALSE)*IF(D47="Pri",MLD_PRI,MLD_SEC)+VLOOKUP(A47,Data!$A$3:$X$81,23,FALSE)*IF(D47="Pri",SEMH_PRI,SEMH_SEC))+(VLOOKUP(A47,Data!$A$3:$X$81,24,FALSE)*IF(D47="Pri",SLCN_PRI,SLCN_SEC))</f>
        <v>0</v>
      </c>
      <c r="N47" s="157">
        <f>(VLOOKUP(A47,Data!$A$3:$AD$81,26,FALSE)*IF(D47="Pri",NA_PRI,NA_SEC))+(VLOOKUP(A47,Data!$A$3:$AD$81,27,FALSE)*IF(D47="Pri",asd_pri,asd_sec))+(VLOOKUP(A47,Data!$A$3:$AD$81,28,FALSE)*IF(D47="Pri",MLD_PRI,MLD_SEC)+VLOOKUP(A47,Data!$A$3:$AD$81,29,FALSE)*IF(D47="Pri",SEMH_PRI,SEMH_SEC))+(VLOOKUP(A47,Data!$A$3:$AD$81,30,FALSE)*IF(D47="Pri",SLCN_PRI,SLCN_SEC))</f>
        <v>0</v>
      </c>
      <c r="O47" s="304">
        <f t="shared" ref="O47" si="35">L47+M47+N47</f>
        <v>99494.5</v>
      </c>
      <c r="P47" s="159">
        <f t="shared" si="31"/>
        <v>12838</v>
      </c>
      <c r="Q47" s="160">
        <f>VLOOKUP($A47,MFG!$A$7:$AC$85,29,FALSE)*VLOOKUP($A47,Data!$A$4:$E$81,5,FALSE)</f>
        <v>0</v>
      </c>
      <c r="R47" s="167">
        <f t="shared" ref="R47" si="36">O47+Q47</f>
        <v>99494.5</v>
      </c>
      <c r="S47" s="162"/>
      <c r="T47" s="255">
        <f>_xlfn.IFNA(VLOOKUP(A47,'2025-26 Budget Share'!$A$5:$W$62,17,FALSE),0)</f>
        <v>43575</v>
      </c>
      <c r="U47" s="305">
        <f t="shared" ref="U47" si="37">R47-T47</f>
        <v>55919.5</v>
      </c>
      <c r="V47" s="305">
        <f t="shared" si="32"/>
        <v>12838</v>
      </c>
      <c r="W47" s="305">
        <f>_xlfn.IFNA(VLOOKUP(A47,'2025-26 Budget Share'!$A$5:$W$62,21,FALSE),0)</f>
        <v>12450</v>
      </c>
      <c r="X47" s="256">
        <f t="shared" ref="X47" si="38">V47-W47</f>
        <v>388</v>
      </c>
      <c r="Y47" s="446">
        <f>_xlfn.XLOOKUP(A47,Data!$D$87:$D$164,Data!$F$87:$F$164)*'Budget Shares'!E47</f>
        <v>2770.7</v>
      </c>
      <c r="Z47" s="163"/>
      <c r="AA47" s="163">
        <f t="shared" si="33"/>
        <v>0</v>
      </c>
      <c r="AB47" s="163"/>
      <c r="AC47" s="102" t="s">
        <v>147</v>
      </c>
      <c r="AD47" s="102">
        <f>SUMIFS(APN!L:L,APN!A:A,RIGHT(A47,4)*1,APN!H:H,"SEMH")</f>
        <v>7.75</v>
      </c>
      <c r="AE47" s="151">
        <f>AD47*6000</f>
        <v>46500</v>
      </c>
      <c r="AF47" s="151">
        <f>AD47*4000</f>
        <v>31000</v>
      </c>
      <c r="AG47" s="151">
        <f>IF(D47="PRI",SEMH_PRI,IF(D47="SEC",SEMH_SEC,0))*AD47</f>
        <v>99494.5</v>
      </c>
      <c r="AH47" s="151">
        <f>_xlfn.XLOOKUP(A47,MFG!A:A,MFG!AC:AC)*AD47</f>
        <v>0</v>
      </c>
      <c r="AI47" s="151" t="e">
        <f>_xlfn.XLOOKUP(A47,Data!A:A,Data!#REF!)/_xlfn.XLOOKUP(A47,Data!A:A,Data!E:E)*AD47</f>
        <v>#REF!</v>
      </c>
      <c r="AJ47" s="151"/>
      <c r="AK47" s="151"/>
      <c r="AL47" s="151" t="e">
        <f>SUM(AE47:AK47)</f>
        <v>#REF!</v>
      </c>
      <c r="AM47" s="151" t="e">
        <f>AL47/AD47</f>
        <v>#REF!</v>
      </c>
      <c r="AN47" s="151">
        <v>-135183.44</v>
      </c>
      <c r="AO47" s="151">
        <v>-111461.81</v>
      </c>
    </row>
    <row r="48" spans="1:41">
      <c r="A48" s="164">
        <v>8503404</v>
      </c>
      <c r="B48" s="306" t="s">
        <v>166</v>
      </c>
      <c r="C48" s="147" t="str">
        <f>VLOOKUP(RIGHT(A48,4)*1,APN!A:C,3,FALSE)</f>
        <v>Maintained</v>
      </c>
      <c r="D48" s="147" t="str">
        <f>VLOOKUP(A48,Data!$A$3:$I$81,9,FALSE)</f>
        <v>PRI</v>
      </c>
      <c r="E48" s="165">
        <f>VLOOKUP(A48,Data!A:E,5,FALSE)</f>
        <v>6</v>
      </c>
      <c r="F48" s="147" t="str">
        <f>VLOOKUP(A48,Data!$A$3:$J$81,10,FALSE)</f>
        <v>HI</v>
      </c>
      <c r="G48" s="147"/>
      <c r="H48" s="295"/>
      <c r="I48" s="604">
        <f>VLOOKUP(A48,Data!A:E,5,FALSE)*place</f>
        <v>36000</v>
      </c>
      <c r="J48" s="609">
        <f>IFERROR(VLOOKUP(A48,'NOR Special Units'!$B:$AF,31,FALSE)*Values!$D$28,0)</f>
        <v>4000</v>
      </c>
      <c r="K48" s="607">
        <f>VLOOKUP(A48,Data!A:E,5,FALSE)*legacy</f>
        <v>3281.8229787420005</v>
      </c>
      <c r="L48" s="428" cm="1">
        <f t="array" ref="L48">INDEX(Values!$D$1:$D$985,MATCH(1,(Values!$B$1:$B$985=F48)*(Values!$C$1:$C$985=D48),0))*VLOOKUP(A48,Data!$A$1:$F$1029,6,FALSE)</f>
        <v>52206</v>
      </c>
      <c r="M48" s="157">
        <f>(VLOOKUP(A48,Data!$A$3:$X$81,18,FALSE)*IF(D48="Pri",TACT_PRI,TACT_SEC))+(VLOOKUP(A48,Data!$A$3:$X$81,19,FALSE)*IF(D48="Pri",SIGN_PRI,SIGN_SEC))+(VLOOKUP(A48,Data!$A$3:$X$81,20,FALSE)*IF(D48="Pri",NA_PRI,NA_SEC))+(VLOOKUP(A48,Data!$A$3:$X$81,21,FALSE)*IF(D48="Pri",asd_pri,asd_sec))+(VLOOKUP(A48,Data!$A$3:$X$81,22,FALSE)*IF(D48="Pri",MLD_PRI,MLD_SEC)+VLOOKUP(A48,Data!$A$3:$X$81,23,FALSE)*IF(D48="Pri",SEMH_PRI,SEMH_SEC))+(VLOOKUP(A48,Data!$A$3:$X$81,24,FALSE)*IF(D48="Pri",SLCN_PRI,SLCN_SEC))</f>
        <v>40771.199999999997</v>
      </c>
      <c r="N48" s="157">
        <f>(VLOOKUP(A48,Data!$A$3:$AD$81,26,FALSE)*IF(D48="Pri",NA_PRI,NA_SEC))+(VLOOKUP(A48,Data!$A$3:$AD$81,27,FALSE)*IF(D48="Pri",asd_pri,asd_sec))+(VLOOKUP(A48,Data!$A$3:$AD$81,28,FALSE)*IF(D48="Pri",MLD_PRI,MLD_SEC)+VLOOKUP(A48,Data!$A$3:$AD$81,29,FALSE)*IF(D48="Pri",SEMH_PRI,SEMH_SEC))+(VLOOKUP(A48,Data!$A$3:$AD$81,30,FALSE)*IF(D48="Pri",SLCN_PRI,SLCN_SEC))</f>
        <v>0</v>
      </c>
      <c r="O48" s="304">
        <f t="shared" si="4"/>
        <v>92977.2</v>
      </c>
      <c r="P48" s="159">
        <f t="shared" si="31"/>
        <v>15496.199999999999</v>
      </c>
      <c r="Q48" s="160">
        <f>VLOOKUP($A48,MFG!$A$7:$AC$85,29,FALSE)*VLOOKUP($A48,Data!$A$4:$E$81,5,FALSE)</f>
        <v>0</v>
      </c>
      <c r="R48" s="167">
        <f t="shared" ref="R48" si="39">O48+Q48</f>
        <v>92977.2</v>
      </c>
      <c r="S48" s="162"/>
      <c r="T48" s="255">
        <f>_xlfn.IFNA(VLOOKUP(A48,'2025-26 Budget Share'!$A$5:$W$62,17,FALSE),0)</f>
        <v>87823.5</v>
      </c>
      <c r="U48" s="305">
        <f t="shared" si="1"/>
        <v>5153.6999999999971</v>
      </c>
      <c r="V48" s="305">
        <f t="shared" si="32"/>
        <v>15496.199999999999</v>
      </c>
      <c r="W48" s="305">
        <f>_xlfn.IFNA(VLOOKUP(A48,'2025-26 Budget Share'!$A$5:$W$62,21,FALSE),0)</f>
        <v>14637.25</v>
      </c>
      <c r="X48" s="256">
        <f t="shared" si="34"/>
        <v>858.94999999999891</v>
      </c>
      <c r="Y48" s="446">
        <f>_xlfn.XLOOKUP(A48,Data!$D$87:$D$164,Data!$F$87:$F$164)*'Budget Shares'!E48</f>
        <v>4375.0200000000004</v>
      </c>
      <c r="Z48" s="163"/>
      <c r="AA48" s="163">
        <f t="shared" si="33"/>
        <v>0</v>
      </c>
      <c r="AB48" s="163"/>
      <c r="AC48" s="102"/>
      <c r="AD48" s="102"/>
      <c r="AE48" s="102"/>
      <c r="AF48" s="102"/>
      <c r="AG48" s="102"/>
      <c r="AH48" s="102"/>
      <c r="AI48" s="102"/>
      <c r="AJ48" s="102"/>
      <c r="AK48" s="102"/>
      <c r="AL48" s="102"/>
      <c r="AM48" s="102"/>
      <c r="AN48" s="102"/>
      <c r="AO48" s="102"/>
    </row>
    <row r="49" spans="1:41">
      <c r="A49" s="164">
        <v>8503665</v>
      </c>
      <c r="B49" s="306" t="s">
        <v>26</v>
      </c>
      <c r="C49" s="147" t="str">
        <f>VLOOKUP(RIGHT(A49,4)*1,APN!A:C,3,FALSE)</f>
        <v>Maintained</v>
      </c>
      <c r="D49" s="147" t="str">
        <f>VLOOKUP(A49,Data!$A$3:$I$81,9,FALSE)</f>
        <v>PRI</v>
      </c>
      <c r="E49" s="165">
        <f>VLOOKUP(A49,Data!A:E,5,FALSE)</f>
        <v>7.0000000000000009</v>
      </c>
      <c r="F49" s="147" t="str">
        <f>VLOOKUP(A49,Data!$A$3:$J$81,10,FALSE)</f>
        <v>SEMH</v>
      </c>
      <c r="G49" s="147"/>
      <c r="H49" s="295"/>
      <c r="I49" s="604">
        <f>VLOOKUP(A49,Data!A:E,5,FALSE)*place</f>
        <v>42000.000000000007</v>
      </c>
      <c r="J49" s="609">
        <f>IFERROR(VLOOKUP(A49,'NOR Special Units'!$B:$AF,31,FALSE)*Values!$D$28,0)</f>
        <v>0</v>
      </c>
      <c r="K49" s="607">
        <f>VLOOKUP(A49,Data!A:E,5,FALSE)*legacy</f>
        <v>3828.793475199001</v>
      </c>
      <c r="L49" s="428" cm="1">
        <f t="array" ref="L49">INDEX(Values!$D$1:$D$985,MATCH(1,(Values!$B$1:$B$985=F49)*(Values!$C$1:$C$985=D49),0))*VLOOKUP(A49,Data!$A$1:$F$1029,6,FALSE)</f>
        <v>89866</v>
      </c>
      <c r="M49" s="157">
        <f>(VLOOKUP(A49,Data!$A$3:$X$81,18,FALSE)*IF(D49="Pri",TACT_PRI,TACT_SEC))+(VLOOKUP(A49,Data!$A$3:$X$81,19,FALSE)*IF(D49="Pri",SIGN_PRI,SIGN_SEC))+(VLOOKUP(A49,Data!$A$3:$X$81,20,FALSE)*IF(D49="Pri",NA_PRI,NA_SEC))+(VLOOKUP(A49,Data!$A$3:$X$81,21,FALSE)*IF(D49="Pri",asd_pri,asd_sec))+(VLOOKUP(A49,Data!$A$3:$X$81,22,FALSE)*IF(D49="Pri",MLD_PRI,MLD_SEC)+VLOOKUP(A49,Data!$A$3:$X$81,23,FALSE)*IF(D49="Pri",SEMH_PRI,SEMH_SEC))+(VLOOKUP(A49,Data!$A$3:$X$81,24,FALSE)*IF(D49="Pri",SLCN_PRI,SLCN_SEC))</f>
        <v>0</v>
      </c>
      <c r="N49" s="157">
        <f>(VLOOKUP(A49,Data!$A$3:$AD$81,26,FALSE)*IF(D49="Pri",NA_PRI,NA_SEC))+(VLOOKUP(A49,Data!$A$3:$AD$81,27,FALSE)*IF(D49="Pri",asd_pri,asd_sec))+(VLOOKUP(A49,Data!$A$3:$AD$81,28,FALSE)*IF(D49="Pri",MLD_PRI,MLD_SEC)+VLOOKUP(A49,Data!$A$3:$AD$81,29,FALSE)*IF(D49="Pri",SEMH_PRI,SEMH_SEC))+(VLOOKUP(A49,Data!$A$3:$AD$81,30,FALSE)*IF(D49="Pri",SLCN_PRI,SLCN_SEC))</f>
        <v>0</v>
      </c>
      <c r="O49" s="304">
        <f t="shared" si="4"/>
        <v>89866</v>
      </c>
      <c r="P49" s="159">
        <f t="shared" si="31"/>
        <v>12837.999999999998</v>
      </c>
      <c r="Q49" s="160">
        <f>VLOOKUP($A49,MFG!$A$7:$AC$85,29,FALSE)*VLOOKUP($A49,Data!$A$4:$E$81,5,FALSE)</f>
        <v>0</v>
      </c>
      <c r="R49" s="167">
        <f t="shared" si="5"/>
        <v>89866</v>
      </c>
      <c r="S49" s="162"/>
      <c r="T49" s="255">
        <f>_xlfn.IFNA(VLOOKUP(A49,'2025-26 Budget Share'!$A$5:$W$62,17,FALSE),0)</f>
        <v>87150</v>
      </c>
      <c r="U49" s="305">
        <f t="shared" si="1"/>
        <v>2716</v>
      </c>
      <c r="V49" s="305">
        <f t="shared" si="32"/>
        <v>12837.999999999998</v>
      </c>
      <c r="W49" s="305">
        <f>_xlfn.IFNA(VLOOKUP(A49,'2025-26 Budget Share'!$A$5:$W$62,21,FALSE),0)</f>
        <v>12449.999999999998</v>
      </c>
      <c r="X49" s="256">
        <f t="shared" si="6"/>
        <v>388</v>
      </c>
      <c r="Y49" s="446">
        <f>_xlfn.XLOOKUP(A49,Data!$D$87:$D$164,Data!$F$87:$F$164)*'Budget Shares'!E49</f>
        <v>2502.5700000000006</v>
      </c>
      <c r="Z49" s="163"/>
      <c r="AA49" s="163">
        <f t="shared" si="33"/>
        <v>0</v>
      </c>
      <c r="AB49" s="163"/>
      <c r="AC49" s="102" t="s">
        <v>147</v>
      </c>
      <c r="AD49" s="102">
        <f>SUMIFS(APN!L:L,APN!A:A,RIGHT(A49,4)*1,APN!H:H,"SEMH")</f>
        <v>7</v>
      </c>
      <c r="AE49" s="151">
        <f>AD49*6000</f>
        <v>42000</v>
      </c>
      <c r="AF49" s="151">
        <f>AD49*4000</f>
        <v>28000</v>
      </c>
      <c r="AG49" s="151">
        <f>IF(D49="PRI",SEMH_PRI,IF(D49="SEC",SEMH_SEC,0))*AD49</f>
        <v>89866</v>
      </c>
      <c r="AH49" s="151">
        <f>_xlfn.XLOOKUP(A49,MFG!A:A,MFG!AC:AC)*AD49</f>
        <v>0</v>
      </c>
      <c r="AI49" s="151" t="e">
        <f>_xlfn.XLOOKUP(A49,Data!A:A,Data!#REF!)/_xlfn.XLOOKUP(A49,Data!A:A,Data!E:E)*AD49</f>
        <v>#REF!</v>
      </c>
      <c r="AJ49" s="151">
        <v>16808.13</v>
      </c>
      <c r="AK49" s="151">
        <v>755.55</v>
      </c>
      <c r="AL49" s="151" t="e">
        <f>SUM(AE49:AK49)</f>
        <v>#REF!</v>
      </c>
      <c r="AM49" s="151" t="e">
        <f>AL49/AD49</f>
        <v>#REF!</v>
      </c>
      <c r="AN49" s="151">
        <v>74366.880000000005</v>
      </c>
      <c r="AO49" s="151">
        <v>-109742.65999999999</v>
      </c>
    </row>
    <row r="50" spans="1:41">
      <c r="A50" s="164">
        <v>8503667</v>
      </c>
      <c r="B50" s="549" t="s">
        <v>167</v>
      </c>
      <c r="C50" s="147" t="str">
        <f>VLOOKUP(RIGHT(A50,4)*1,APN!A:C,3,FALSE)</f>
        <v>Maintained</v>
      </c>
      <c r="D50" s="147" t="str">
        <f>VLOOKUP(A50,Data!$A$3:$I$81,9,FALSE)</f>
        <v>PRI</v>
      </c>
      <c r="E50" s="165">
        <f>VLOOKUP(A50,Data!A:E,5,FALSE)</f>
        <v>0</v>
      </c>
      <c r="F50" s="147" t="str">
        <f>VLOOKUP(A50,Data!$A$3:$J$81,10,FALSE)</f>
        <v>ASC</v>
      </c>
      <c r="G50" s="147"/>
      <c r="H50" s="295"/>
      <c r="I50" s="604">
        <f>VLOOKUP(A50,Data!A:E,5,FALSE)*place</f>
        <v>0</v>
      </c>
      <c r="J50" s="609">
        <f>IFERROR(VLOOKUP(A50,'NOR Special Units'!$B:$AF,31,FALSE)*Values!$D$28,0)</f>
        <v>0</v>
      </c>
      <c r="K50" s="607">
        <f>VLOOKUP(A50,Data!A:E,5,FALSE)*legacy</f>
        <v>0</v>
      </c>
      <c r="L50" s="428" cm="1">
        <f t="array" ref="L50">INDEX(Values!$D$1:$D$985,MATCH(1,(Values!$B$1:$B$985=F50)*(Values!$C$1:$C$985=D50),0))*VLOOKUP(A50,Data!$A$1:$F$1029,6,FALSE)</f>
        <v>0</v>
      </c>
      <c r="M50" s="157">
        <f>(VLOOKUP(A50,Data!$A$3:$X$81,18,FALSE)*IF(D50="Pri",TACT_PRI,TACT_SEC))+(VLOOKUP(A50,Data!$A$3:$X$81,19,FALSE)*IF(D50="Pri",SIGN_PRI,SIGN_SEC))+(VLOOKUP(A50,Data!$A$3:$X$81,20,FALSE)*IF(D50="Pri",NA_PRI,NA_SEC))+(VLOOKUP(A50,Data!$A$3:$X$81,21,FALSE)*IF(D50="Pri",asd_pri,asd_sec))+(VLOOKUP(A50,Data!$A$3:$X$81,22,FALSE)*IF(D50="Pri",MLD_PRI,MLD_SEC)+VLOOKUP(A50,Data!$A$3:$X$81,23,FALSE)*IF(D50="Pri",SEMH_PRI,SEMH_SEC))+(VLOOKUP(A50,Data!$A$3:$X$81,24,FALSE)*IF(D50="Pri",SLCN_PRI,SLCN_SEC))</f>
        <v>0</v>
      </c>
      <c r="N50" s="157">
        <f>(VLOOKUP(A50,Data!$A$3:$AD$81,26,FALSE)*IF(D50="Pri",NA_PRI,NA_SEC))+(VLOOKUP(A50,Data!$A$3:$AD$81,27,FALSE)*IF(D50="Pri",asd_pri,asd_sec))+(VLOOKUP(A50,Data!$A$3:$AD$81,28,FALSE)*IF(D50="Pri",MLD_PRI,MLD_SEC)+VLOOKUP(A50,Data!$A$3:$AD$81,29,FALSE)*IF(D50="Pri",SEMH_PRI,SEMH_SEC))+(VLOOKUP(A50,Data!$A$3:$AD$81,30,FALSE)*IF(D50="Pri",SLCN_PRI,SLCN_SEC))</f>
        <v>0</v>
      </c>
      <c r="O50" s="304">
        <f t="shared" si="4"/>
        <v>0</v>
      </c>
      <c r="P50" s="159">
        <f t="shared" si="31"/>
        <v>0</v>
      </c>
      <c r="Q50" s="160">
        <f>VLOOKUP($A50,MFG!$A$7:$AC$85,29,FALSE)*VLOOKUP($A50,Data!$A$4:$E$81,5,FALSE)</f>
        <v>0</v>
      </c>
      <c r="R50" s="167">
        <f t="shared" si="5"/>
        <v>0</v>
      </c>
      <c r="S50" s="162"/>
      <c r="T50" s="255">
        <f>_xlfn.IFNA(VLOOKUP(A50,'2025-26 Budget Share'!$A$5:$W$62,17,FALSE),0)</f>
        <v>0</v>
      </c>
      <c r="U50" s="305">
        <f t="shared" si="1"/>
        <v>0</v>
      </c>
      <c r="V50" s="305">
        <f t="shared" si="32"/>
        <v>0</v>
      </c>
      <c r="W50" s="305">
        <f>_xlfn.IFNA(VLOOKUP(A50,'2025-26 Budget Share'!$A$5:$W$62,21,FALSE),0)</f>
        <v>0</v>
      </c>
      <c r="X50" s="256">
        <f t="shared" si="6"/>
        <v>0</v>
      </c>
      <c r="Y50" s="446">
        <f>_xlfn.XLOOKUP(A50,Data!$D$87:$D$164,Data!$F$87:$F$164)*'Budget Shares'!E50</f>
        <v>0</v>
      </c>
      <c r="Z50" s="163"/>
      <c r="AA50" s="163">
        <f t="shared" si="33"/>
        <v>0</v>
      </c>
      <c r="AB50" s="163"/>
      <c r="AC50" s="102"/>
      <c r="AD50" s="102"/>
      <c r="AE50" s="151"/>
      <c r="AF50" s="151"/>
      <c r="AG50" s="151"/>
      <c r="AH50" s="151"/>
      <c r="AI50" s="151"/>
      <c r="AJ50" s="151"/>
      <c r="AK50" s="151"/>
      <c r="AL50" s="151"/>
      <c r="AM50" s="151"/>
      <c r="AN50" s="151"/>
      <c r="AO50" s="151"/>
    </row>
    <row r="51" spans="1:41">
      <c r="A51" s="168">
        <v>8504000</v>
      </c>
      <c r="B51" s="306" t="s">
        <v>27</v>
      </c>
      <c r="C51" s="147" t="str">
        <f>VLOOKUP(RIGHT(A51,4)*1,APN!A:C,3,FALSE)</f>
        <v>Academy</v>
      </c>
      <c r="D51" s="147" t="str">
        <f>VLOOKUP(A51,Data!$A$3:$I$81,9,FALSE)</f>
        <v>SEC</v>
      </c>
      <c r="E51" s="165">
        <f>VLOOKUP(A51,Data!A:E,5,FALSE)</f>
        <v>5</v>
      </c>
      <c r="F51" s="147" t="str">
        <f>VLOOKUP(A51,Data!$A$3:$J$81,10,FALSE)</f>
        <v>SpLD</v>
      </c>
      <c r="G51" s="147"/>
      <c r="H51" s="295"/>
      <c r="I51" s="604">
        <f>VLOOKUP(A51,Data!A:E,5,FALSE)*place</f>
        <v>30000</v>
      </c>
      <c r="J51" s="609">
        <f>IFERROR(VLOOKUP(A51,'NOR Special Units'!$B:$AF,31,FALSE)*Values!$D$28,0)</f>
        <v>0</v>
      </c>
      <c r="K51" s="607">
        <f>VLOOKUP(A51,Data!A:E,5,FALSE)*legacy</f>
        <v>2734.8524822850004</v>
      </c>
      <c r="L51" s="428" cm="1">
        <f t="array" ref="L51">INDEX(Values!$D$1:$D$985,MATCH(1,(Values!$B$1:$B$985=F51)*(Values!$C$1:$C$985=D51),0))*VLOOKUP(A51,Data!$A$1:$F$1029,6,FALSE)</f>
        <v>6555</v>
      </c>
      <c r="M51" s="157">
        <f>(VLOOKUP(A51,Data!$A$3:$X$81,18,FALSE)*IF(D51="Pri",TACT_PRI,TACT_SEC))+(VLOOKUP(A51,Data!$A$3:$X$81,19,FALSE)*IF(D51="Pri",SIGN_PRI,SIGN_SEC))+(VLOOKUP(A51,Data!$A$3:$X$81,20,FALSE)*IF(D51="Pri",NA_PRI,NA_SEC))+(VLOOKUP(A51,Data!$A$3:$X$81,21,FALSE)*IF(D51="Pri",asd_pri,asd_sec))+(VLOOKUP(A51,Data!$A$3:$X$81,22,FALSE)*IF(D51="Pri",MLD_PRI,MLD_SEC)+VLOOKUP(A51,Data!$A$3:$X$81,23,FALSE)*IF(D51="Pri",SEMH_PRI,SEMH_SEC))+(VLOOKUP(A51,Data!$A$3:$X$81,24,FALSE)*IF(D51="Pri",SLCN_PRI,SLCN_SEC))</f>
        <v>0</v>
      </c>
      <c r="N51" s="157">
        <f>(VLOOKUP(A51,Data!$A$3:$AD$81,26,FALSE)*IF(D51="Pri",NA_PRI,NA_SEC))+(VLOOKUP(A51,Data!$A$3:$AD$81,27,FALSE)*IF(D51="Pri",asd_pri,asd_sec))+(VLOOKUP(A51,Data!$A$3:$AD$81,28,FALSE)*IF(D51="Pri",MLD_PRI,MLD_SEC)+VLOOKUP(A51,Data!$A$3:$AD$81,29,FALSE)*IF(D51="Pri",SEMH_PRI,SEMH_SEC))+(VLOOKUP(A51,Data!$A$3:$AD$81,30,FALSE)*IF(D51="Pri",SLCN_PRI,SLCN_SEC))</f>
        <v>0</v>
      </c>
      <c r="O51" s="304">
        <f t="shared" si="4"/>
        <v>6555</v>
      </c>
      <c r="P51" s="159">
        <f t="shared" si="31"/>
        <v>1311</v>
      </c>
      <c r="Q51" s="160">
        <f>VLOOKUP($A51,MFG!$A$7:$AC$85,29,FALSE)*VLOOKUP($A51,Data!$A$4:$E$81,5,FALSE)</f>
        <v>0</v>
      </c>
      <c r="R51" s="167">
        <f t="shared" si="5"/>
        <v>6555</v>
      </c>
      <c r="S51" s="162"/>
      <c r="T51" s="255">
        <f>_xlfn.IFNA(VLOOKUP(A51,'2025-26 Budget Share'!$A$5:$W$62,17,FALSE),0)</f>
        <v>8216.6666666666679</v>
      </c>
      <c r="U51" s="305">
        <f t="shared" si="1"/>
        <v>-1661.6666666666679</v>
      </c>
      <c r="V51" s="305">
        <f t="shared" si="32"/>
        <v>1311</v>
      </c>
      <c r="W51" s="305">
        <f>_xlfn.IFNA(VLOOKUP(A51,'2025-26 Budget Share'!$A$5:$W$62,21,FALSE),0)</f>
        <v>1160</v>
      </c>
      <c r="X51" s="256">
        <f t="shared" si="6"/>
        <v>151</v>
      </c>
      <c r="Y51" s="446">
        <f>_xlfn.XLOOKUP(A51,Data!$D$87:$D$164,Data!$F$87:$F$164)*'Budget Shares'!E51</f>
        <v>1149.05</v>
      </c>
      <c r="Z51" s="163"/>
      <c r="AA51" s="163">
        <f t="shared" si="33"/>
        <v>0</v>
      </c>
      <c r="AB51" s="163"/>
      <c r="AC51" s="102"/>
      <c r="AD51" s="102"/>
      <c r="AE51" s="102"/>
      <c r="AF51" s="102"/>
      <c r="AG51" s="102"/>
      <c r="AH51" s="102"/>
      <c r="AI51" s="102"/>
      <c r="AJ51" s="102"/>
      <c r="AK51" s="102"/>
      <c r="AL51" s="102"/>
      <c r="AM51" s="102"/>
      <c r="AN51" s="102"/>
      <c r="AO51" s="102"/>
    </row>
    <row r="52" spans="1:41">
      <c r="A52" s="168">
        <v>8504004</v>
      </c>
      <c r="B52" s="549" t="s">
        <v>168</v>
      </c>
      <c r="C52" s="147" t="str">
        <f>VLOOKUP(RIGHT(A52,4)*1,APN!A:C,3,FALSE)</f>
        <v>Academy</v>
      </c>
      <c r="D52" s="147" t="str">
        <f>VLOOKUP(A52,Data!$A$3:$I$81,9,FALSE)</f>
        <v>SEC</v>
      </c>
      <c r="E52" s="165">
        <f>VLOOKUP(A52,Data!A:E,5,FALSE)</f>
        <v>0</v>
      </c>
      <c r="F52" s="147" t="str">
        <f>VLOOKUP(A52,Data!$A$3:$J$81,10,FALSE)</f>
        <v>SEMH</v>
      </c>
      <c r="G52" s="147"/>
      <c r="H52" s="295"/>
      <c r="I52" s="604">
        <f>VLOOKUP(A52,Data!A:E,5,FALSE)*place</f>
        <v>0</v>
      </c>
      <c r="J52" s="609">
        <f>IFERROR(VLOOKUP(A52,'NOR Special Units'!$B:$AF,31,FALSE)*Values!$D$28,0)</f>
        <v>0</v>
      </c>
      <c r="K52" s="607">
        <f>VLOOKUP(A52,Data!A:E,5,FALSE)*legacy</f>
        <v>0</v>
      </c>
      <c r="L52" s="428" cm="1">
        <f t="array" ref="L52">INDEX(Values!$D$1:$D$985,MATCH(1,(Values!$B$1:$B$985=F52)*(Values!$C$1:$C$985=D52),0))*VLOOKUP(A52,Data!$A$1:$F$1029,6,FALSE)</f>
        <v>0</v>
      </c>
      <c r="M52" s="157">
        <f>(VLOOKUP(A52,Data!$A$3:$X$81,18,FALSE)*IF(D52="Pri",TACT_PRI,TACT_SEC))+(VLOOKUP(A52,Data!$A$3:$X$81,19,FALSE)*IF(D52="Pri",SIGN_PRI,SIGN_SEC))+(VLOOKUP(A52,Data!$A$3:$X$81,20,FALSE)*IF(D52="Pri",NA_PRI,NA_SEC))+(VLOOKUP(A52,Data!$A$3:$X$81,21,FALSE)*IF(D52="Pri",asd_pri,asd_sec))+(VLOOKUP(A52,Data!$A$3:$X$81,22,FALSE)*IF(D52="Pri",MLD_PRI,MLD_SEC)+VLOOKUP(A52,Data!$A$3:$X$81,23,FALSE)*IF(D52="Pri",SEMH_PRI,SEMH_SEC))+(VLOOKUP(A52,Data!$A$3:$X$81,24,FALSE)*IF(D52="Pri",SLCN_PRI,SLCN_SEC))</f>
        <v>0</v>
      </c>
      <c r="N52" s="157">
        <f>(VLOOKUP(A52,Data!$A$3:$AD$81,26,FALSE)*IF(D52="Pri",NA_PRI,NA_SEC))+(VLOOKUP(A52,Data!$A$3:$AD$81,27,FALSE)*IF(D52="Pri",asd_pri,asd_sec))+(VLOOKUP(A52,Data!$A$3:$AD$81,28,FALSE)*IF(D52="Pri",MLD_PRI,MLD_SEC)+VLOOKUP(A52,Data!$A$3:$AD$81,29,FALSE)*IF(D52="Pri",SEMH_PRI,SEMH_SEC))+(VLOOKUP(A52,Data!$A$3:$AD$81,30,FALSE)*IF(D52="Pri",SLCN_PRI,SLCN_SEC))</f>
        <v>0</v>
      </c>
      <c r="O52" s="304">
        <f t="shared" si="4"/>
        <v>0</v>
      </c>
      <c r="P52" s="159">
        <f t="shared" si="31"/>
        <v>0</v>
      </c>
      <c r="Q52" s="160">
        <f>VLOOKUP($A52,MFG!$A$7:$AC$85,29,FALSE)*VLOOKUP($A52,Data!$A$4:$E$81,5,FALSE)</f>
        <v>0</v>
      </c>
      <c r="R52" s="167">
        <f t="shared" si="5"/>
        <v>0</v>
      </c>
      <c r="S52" s="162"/>
      <c r="T52" s="255">
        <f>_xlfn.IFNA(VLOOKUP(A52,'2025-26 Budget Share'!$A$5:$W$62,17,FALSE),0)</f>
        <v>0</v>
      </c>
      <c r="U52" s="305">
        <f t="shared" si="1"/>
        <v>0</v>
      </c>
      <c r="V52" s="305">
        <f t="shared" si="32"/>
        <v>0</v>
      </c>
      <c r="W52" s="305">
        <f>_xlfn.IFNA(VLOOKUP(A52,'2025-26 Budget Share'!$A$5:$W$62,21,FALSE),0)</f>
        <v>0</v>
      </c>
      <c r="X52" s="256">
        <f t="shared" si="6"/>
        <v>0</v>
      </c>
      <c r="Y52" s="446">
        <f>_xlfn.XLOOKUP(A52,Data!$D$87:$D$164,Data!$F$87:$F$164)*'Budget Shares'!E52</f>
        <v>0</v>
      </c>
      <c r="Z52" s="163"/>
      <c r="AA52" s="163">
        <f t="shared" si="33"/>
        <v>0</v>
      </c>
      <c r="AB52" s="163"/>
      <c r="AC52" s="102"/>
      <c r="AD52" s="102"/>
      <c r="AE52" s="102"/>
      <c r="AF52" s="102"/>
      <c r="AG52" s="102"/>
      <c r="AH52" s="102"/>
      <c r="AI52" s="102"/>
      <c r="AJ52" s="102"/>
      <c r="AK52" s="102"/>
      <c r="AL52" s="102"/>
      <c r="AM52" s="102"/>
      <c r="AN52" s="102"/>
      <c r="AO52" s="102"/>
    </row>
    <row r="53" spans="1:41">
      <c r="A53" s="168">
        <v>8504005</v>
      </c>
      <c r="B53" s="549" t="s">
        <v>169</v>
      </c>
      <c r="C53" s="147" t="str">
        <f>VLOOKUP(RIGHT(A53,4)*1,APN!A:C,3,FALSE)</f>
        <v>Academy</v>
      </c>
      <c r="D53" s="147" t="str">
        <f>VLOOKUP(A53,Data!$A$3:$I$81,9,FALSE)</f>
        <v>SEC</v>
      </c>
      <c r="E53" s="165">
        <f>VLOOKUP(A53,Data!A:E,5,FALSE)</f>
        <v>4.0833333333333339</v>
      </c>
      <c r="F53" s="147" t="str">
        <f>VLOOKUP(A53,Data!$A$3:$J$81,10,FALSE)</f>
        <v>SEMH</v>
      </c>
      <c r="G53" s="147"/>
      <c r="H53" s="295"/>
      <c r="I53" s="604">
        <f>VLOOKUP(A53,Data!A:E,5,FALSE)*place</f>
        <v>24500.000000000004</v>
      </c>
      <c r="J53" s="609">
        <f>IFERROR(VLOOKUP(A53,'NOR Special Units'!$B:$AF,31,FALSE)*Values!$D$28,0)</f>
        <v>28000</v>
      </c>
      <c r="K53" s="607">
        <f>VLOOKUP(A53,Data!A:E,5,FALSE)*legacy</f>
        <v>2233.4628605327507</v>
      </c>
      <c r="L53" s="428" cm="1">
        <f t="array" ref="L53">INDEX(Values!$D$1:$D$985,MATCH(1,(Values!$B$1:$B$985=F53)*(Values!$C$1:$C$985=D53),0))*VLOOKUP(A53,Data!$A$1:$F$1029,6,FALSE)</f>
        <v>47293.166666666664</v>
      </c>
      <c r="M53" s="157">
        <f>(VLOOKUP(A53,Data!$A$3:$X$81,18,FALSE)*IF(D53="Pri",TACT_PRI,TACT_SEC))+(VLOOKUP(A53,Data!$A$3:$X$81,19,FALSE)*IF(D53="Pri",SIGN_PRI,SIGN_SEC))+(VLOOKUP(A53,Data!$A$3:$X$81,20,FALSE)*IF(D53="Pri",NA_PRI,NA_SEC))+(VLOOKUP(A53,Data!$A$3:$X$81,21,FALSE)*IF(D53="Pri",asd_pri,asd_sec))+(VLOOKUP(A53,Data!$A$3:$X$81,22,FALSE)*IF(D53="Pri",MLD_PRI,MLD_SEC)+VLOOKUP(A53,Data!$A$3:$X$81,23,FALSE)*IF(D53="Pri",SEMH_PRI,SEMH_SEC))+(VLOOKUP(A53,Data!$A$3:$X$81,24,FALSE)*IF(D53="Pri",SLCN_PRI,SLCN_SEC))</f>
        <v>0</v>
      </c>
      <c r="N53" s="157">
        <f>(VLOOKUP(A53,Data!$A$3:$AD$81,26,FALSE)*IF(D53="Pri",NA_PRI,NA_SEC))+(VLOOKUP(A53,Data!$A$3:$AD$81,27,FALSE)*IF(D53="Pri",asd_pri,asd_sec))+(VLOOKUP(A53,Data!$A$3:$AD$81,28,FALSE)*IF(D53="Pri",MLD_PRI,MLD_SEC)+VLOOKUP(A53,Data!$A$3:$AD$81,29,FALSE)*IF(D53="Pri",SEMH_PRI,SEMH_SEC))+(VLOOKUP(A53,Data!$A$3:$AD$81,30,FALSE)*IF(D53="Pri",SLCN_PRI,SLCN_SEC))</f>
        <v>0</v>
      </c>
      <c r="O53" s="304">
        <f t="shared" si="4"/>
        <v>47293.166666666664</v>
      </c>
      <c r="P53" s="159">
        <f t="shared" si="31"/>
        <v>11581.999999999998</v>
      </c>
      <c r="Q53" s="160">
        <f>VLOOKUP($A53,MFG!$A$7:$AC$85,29,FALSE)*VLOOKUP($A53,Data!$A$4:$E$81,5,FALSE)</f>
        <v>0</v>
      </c>
      <c r="R53" s="167">
        <f t="shared" si="5"/>
        <v>47293.166666666664</v>
      </c>
      <c r="S53" s="162"/>
      <c r="T53" s="255">
        <f>_xlfn.IFNA(VLOOKUP(A53,'2025-26 Budget Share'!$A$5:$W$62,17,FALSE),0)</f>
        <v>0</v>
      </c>
      <c r="U53" s="305">
        <f t="shared" si="1"/>
        <v>47293.166666666664</v>
      </c>
      <c r="V53" s="305">
        <f t="shared" si="32"/>
        <v>11581.999999999998</v>
      </c>
      <c r="W53" s="305">
        <f>_xlfn.IFNA(VLOOKUP(A53,'2025-26 Budget Share'!$A$5:$W$62,21,FALSE),0)</f>
        <v>0</v>
      </c>
      <c r="X53" s="256">
        <f t="shared" si="6"/>
        <v>11581.999999999998</v>
      </c>
      <c r="Y53" s="446">
        <f>_xlfn.XLOOKUP(A53,Data!$D$87:$D$164,Data!$F$87:$F$164)*'Budget Shares'!E53</f>
        <v>1394.3000000000002</v>
      </c>
      <c r="Z53" s="163"/>
      <c r="AA53" s="163">
        <f t="shared" si="33"/>
        <v>0</v>
      </c>
      <c r="AB53" s="163"/>
      <c r="AC53" s="102"/>
      <c r="AD53" s="102"/>
      <c r="AE53" s="102"/>
      <c r="AF53" s="102"/>
      <c r="AG53" s="102"/>
      <c r="AH53" s="102"/>
      <c r="AI53" s="102"/>
      <c r="AJ53" s="102"/>
      <c r="AK53" s="102"/>
      <c r="AL53" s="102"/>
      <c r="AM53" s="102"/>
      <c r="AN53" s="102"/>
      <c r="AO53" s="102"/>
    </row>
    <row r="54" spans="1:41">
      <c r="A54" s="168">
        <v>8504007</v>
      </c>
      <c r="B54" s="306" t="s">
        <v>170</v>
      </c>
      <c r="C54" s="147" t="str">
        <f>VLOOKUP(RIGHT(A54,4)*1,APN!A:C,3,FALSE)</f>
        <v>Academy</v>
      </c>
      <c r="D54" s="147" t="str">
        <f>VLOOKUP(A54,Data!$A$3:$I$81,9,FALSE)</f>
        <v>SEC</v>
      </c>
      <c r="E54" s="165">
        <f>VLOOKUP(A54,Data!A:E,5,FALSE)</f>
        <v>6</v>
      </c>
      <c r="F54" s="147" t="str">
        <f>VLOOKUP(A54,Data!$A$3:$J$81,10,FALSE)</f>
        <v>MLD</v>
      </c>
      <c r="G54" s="147"/>
      <c r="H54" s="295"/>
      <c r="I54" s="604">
        <f>VLOOKUP(A54,Data!A:E,5,FALSE)*place</f>
        <v>36000</v>
      </c>
      <c r="J54" s="609">
        <f>IFERROR(VLOOKUP(A54,'NOR Special Units'!$B:$AF,31,FALSE)*Values!$D$28,0)</f>
        <v>12000</v>
      </c>
      <c r="K54" s="607">
        <f>VLOOKUP(A54,Data!A:E,5,FALSE)*legacy</f>
        <v>3281.8229787420005</v>
      </c>
      <c r="L54" s="428" cm="1">
        <f t="array" ref="L54">INDEX(Values!$D$1:$D$985,MATCH(1,(Values!$B$1:$B$985=F54)*(Values!$C$1:$C$985=D54),0))*VLOOKUP(A54,Data!$A$1:$F$1029,6,FALSE)</f>
        <v>18354</v>
      </c>
      <c r="M54" s="157">
        <f>(VLOOKUP(A54,Data!$A$3:$X$81,18,FALSE)*IF(D54="Pri",TACT_PRI,TACT_SEC))+(VLOOKUP(A54,Data!$A$3:$X$81,19,FALSE)*IF(D54="Pri",SIGN_PRI,SIGN_SEC))+(VLOOKUP(A54,Data!$A$3:$X$81,20,FALSE)*IF(D54="Pri",NA_PRI,NA_SEC))+(VLOOKUP(A54,Data!$A$3:$X$81,21,FALSE)*IF(D54="Pri",asd_pri,asd_sec))+(VLOOKUP(A54,Data!$A$3:$X$81,22,FALSE)*IF(D54="Pri",MLD_PRI,MLD_SEC)+VLOOKUP(A54,Data!$A$3:$X$81,23,FALSE)*IF(D54="Pri",SEMH_PRI,SEMH_SEC))+(VLOOKUP(A54,Data!$A$3:$X$81,24,FALSE)*IF(D54="Pri",SLCN_PRI,SLCN_SEC))</f>
        <v>0</v>
      </c>
      <c r="N54" s="157">
        <f>(VLOOKUP(A54,Data!$A$3:$AD$81,26,FALSE)*IF(D54="Pri",NA_PRI,NA_SEC))+(VLOOKUP(A54,Data!$A$3:$AD$81,27,FALSE)*IF(D54="Pri",asd_pri,asd_sec))+(VLOOKUP(A54,Data!$A$3:$AD$81,28,FALSE)*IF(D54="Pri",MLD_PRI,MLD_SEC)+VLOOKUP(A54,Data!$A$3:$AD$81,29,FALSE)*IF(D54="Pri",SEMH_PRI,SEMH_SEC))+(VLOOKUP(A54,Data!$A$3:$AD$81,30,FALSE)*IF(D54="Pri",SLCN_PRI,SLCN_SEC))</f>
        <v>0</v>
      </c>
      <c r="O54" s="304">
        <f t="shared" si="4"/>
        <v>18354</v>
      </c>
      <c r="P54" s="159">
        <f t="shared" si="31"/>
        <v>3059</v>
      </c>
      <c r="Q54" s="160">
        <f>VLOOKUP($A54,MFG!$A$7:$AC$85,29,FALSE)*VLOOKUP($A54,Data!$A$4:$E$81,5,FALSE)</f>
        <v>0</v>
      </c>
      <c r="R54" s="167">
        <f t="shared" si="5"/>
        <v>18354</v>
      </c>
      <c r="S54" s="162"/>
      <c r="T54" s="255">
        <f>_xlfn.IFNA(VLOOKUP(A54,'2025-26 Budget Share'!$A$5:$W$62,17,FALSE),0)</f>
        <v>17232</v>
      </c>
      <c r="U54" s="305">
        <f t="shared" si="1"/>
        <v>1122</v>
      </c>
      <c r="V54" s="305">
        <f t="shared" si="32"/>
        <v>3059</v>
      </c>
      <c r="W54" s="305">
        <f>_xlfn.IFNA(VLOOKUP(A54,'2025-26 Budget Share'!$A$5:$W$62,21,FALSE),0)</f>
        <v>2872</v>
      </c>
      <c r="X54" s="256">
        <f t="shared" si="6"/>
        <v>187</v>
      </c>
      <c r="Y54" s="446">
        <f>_xlfn.XLOOKUP(A54,Data!$D$87:$D$164,Data!$F$87:$F$164)*'Budget Shares'!E54</f>
        <v>1708.5</v>
      </c>
      <c r="Z54" s="163"/>
      <c r="AA54" s="163">
        <f t="shared" si="33"/>
        <v>0</v>
      </c>
      <c r="AB54" s="163"/>
      <c r="AC54" s="102"/>
      <c r="AD54" s="102"/>
      <c r="AE54" s="102"/>
      <c r="AF54" s="102"/>
      <c r="AG54" s="102"/>
      <c r="AH54" s="102"/>
      <c r="AI54" s="102"/>
      <c r="AJ54" s="102"/>
      <c r="AK54" s="102"/>
      <c r="AL54" s="102"/>
      <c r="AM54" s="102"/>
      <c r="AN54" s="102"/>
      <c r="AO54" s="102"/>
    </row>
    <row r="55" spans="1:41">
      <c r="A55" s="168">
        <v>8504008</v>
      </c>
      <c r="B55" s="549" t="s">
        <v>171</v>
      </c>
      <c r="C55" s="147" t="str">
        <f>VLOOKUP(RIGHT(A55,4)*1,APN!A:C,3,FALSE)</f>
        <v>Academy</v>
      </c>
      <c r="D55" s="147" t="str">
        <f>VLOOKUP(A55,Data!$A$3:$I$81,9,FALSE)</f>
        <v>SEC</v>
      </c>
      <c r="E55" s="165">
        <f>VLOOKUP(A55,Data!A:E,5,FALSE)</f>
        <v>0</v>
      </c>
      <c r="F55" s="147" t="str">
        <f>VLOOKUP(A55,Data!$A$3:$J$81,10,FALSE)</f>
        <v>ASC</v>
      </c>
      <c r="G55" s="147"/>
      <c r="H55" s="295"/>
      <c r="I55" s="604">
        <f>VLOOKUP(A55,Data!A:E,5,FALSE)*place</f>
        <v>0</v>
      </c>
      <c r="J55" s="609">
        <f>IFERROR(VLOOKUP(A55,'NOR Special Units'!$B:$AF,31,FALSE)*Values!$D$28,0)</f>
        <v>0</v>
      </c>
      <c r="K55" s="607">
        <f>VLOOKUP(A55,Data!A:E,5,FALSE)*legacy</f>
        <v>0</v>
      </c>
      <c r="L55" s="428" cm="1">
        <f t="array" ref="L55">INDEX(Values!$D$1:$D$985,MATCH(1,(Values!$B$1:$B$985=F55)*(Values!$C$1:$C$985=D55),0))*VLOOKUP(A55,Data!$A$1:$F$1029,6,FALSE)</f>
        <v>0</v>
      </c>
      <c r="M55" s="157">
        <f>(VLOOKUP(A55,Data!$A$3:$X$81,18,FALSE)*IF(D55="Pri",TACT_PRI,TACT_SEC))+(VLOOKUP(A55,Data!$A$3:$X$81,19,FALSE)*IF(D55="Pri",SIGN_PRI,SIGN_SEC))+(VLOOKUP(A55,Data!$A$3:$X$81,20,FALSE)*IF(D55="Pri",NA_PRI,NA_SEC))+(VLOOKUP(A55,Data!$A$3:$X$81,21,FALSE)*IF(D55="Pri",asd_pri,asd_sec))+(VLOOKUP(A55,Data!$A$3:$X$81,22,FALSE)*IF(D55="Pri",MLD_PRI,MLD_SEC)+VLOOKUP(A55,Data!$A$3:$X$81,23,FALSE)*IF(D55="Pri",SEMH_PRI,SEMH_SEC))+(VLOOKUP(A55,Data!$A$3:$X$81,24,FALSE)*IF(D55="Pri",SLCN_PRI,SLCN_SEC))</f>
        <v>0</v>
      </c>
      <c r="N55" s="157">
        <f>(VLOOKUP(A55,Data!$A$3:$AD$81,26,FALSE)*IF(D55="Pri",NA_PRI,NA_SEC))+(VLOOKUP(A55,Data!$A$3:$AD$81,27,FALSE)*IF(D55="Pri",asd_pri,asd_sec))+(VLOOKUP(A55,Data!$A$3:$AD$81,28,FALSE)*IF(D55="Pri",MLD_PRI,MLD_SEC)+VLOOKUP(A55,Data!$A$3:$AD$81,29,FALSE)*IF(D55="Pri",SEMH_PRI,SEMH_SEC))+(VLOOKUP(A55,Data!$A$3:$AD$81,30,FALSE)*IF(D55="Pri",SLCN_PRI,SLCN_SEC))</f>
        <v>0</v>
      </c>
      <c r="O55" s="304">
        <f t="shared" si="4"/>
        <v>0</v>
      </c>
      <c r="P55" s="159">
        <f t="shared" si="31"/>
        <v>0</v>
      </c>
      <c r="Q55" s="160">
        <f>VLOOKUP($A55,MFG!$A$7:$AC$85,29,FALSE)*VLOOKUP($A55,Data!$A$4:$E$81,5,FALSE)</f>
        <v>0</v>
      </c>
      <c r="R55" s="167">
        <f t="shared" si="5"/>
        <v>0</v>
      </c>
      <c r="S55" s="162"/>
      <c r="T55" s="255">
        <f>_xlfn.IFNA(VLOOKUP(A55,'2025-26 Budget Share'!$A$5:$W$62,17,FALSE),0)</f>
        <v>0</v>
      </c>
      <c r="U55" s="305">
        <f t="shared" si="1"/>
        <v>0</v>
      </c>
      <c r="V55" s="305">
        <f t="shared" si="32"/>
        <v>0</v>
      </c>
      <c r="W55" s="305">
        <f>_xlfn.IFNA(VLOOKUP(A55,'2025-26 Budget Share'!$A$5:$W$62,21,FALSE),0)</f>
        <v>0</v>
      </c>
      <c r="X55" s="256">
        <f t="shared" si="6"/>
        <v>0</v>
      </c>
      <c r="Y55" s="446">
        <f>_xlfn.XLOOKUP(A55,Data!$D$87:$D$164,Data!$F$87:$F$164)*'Budget Shares'!E55</f>
        <v>0</v>
      </c>
      <c r="Z55" s="163"/>
      <c r="AA55" s="163">
        <f t="shared" si="33"/>
        <v>0</v>
      </c>
      <c r="AB55" s="163"/>
      <c r="AC55" s="102"/>
      <c r="AD55" s="102"/>
      <c r="AE55" s="102"/>
      <c r="AF55" s="102"/>
      <c r="AG55" s="102"/>
      <c r="AH55" s="102"/>
      <c r="AI55" s="102"/>
      <c r="AJ55" s="102"/>
      <c r="AK55" s="102"/>
      <c r="AL55" s="102"/>
      <c r="AM55" s="102"/>
      <c r="AN55" s="102"/>
      <c r="AO55" s="102"/>
    </row>
    <row r="56" spans="1:41">
      <c r="A56" s="168">
        <v>8504019</v>
      </c>
      <c r="B56" s="549" t="s">
        <v>172</v>
      </c>
      <c r="C56" s="147" t="str">
        <f>VLOOKUP(RIGHT(A56,4)*1,APN!A:C,3,FALSE)</f>
        <v>Academy</v>
      </c>
      <c r="D56" s="147" t="str">
        <f>VLOOKUP(A56,Data!$A$3:$I$81,9,FALSE)</f>
        <v>SEC</v>
      </c>
      <c r="E56" s="165">
        <f>VLOOKUP(A56,Data!A:E,5,FALSE)</f>
        <v>0</v>
      </c>
      <c r="F56" s="147" t="str">
        <f>VLOOKUP(A56,Data!$A$3:$J$81,10,FALSE)</f>
        <v>SEMH</v>
      </c>
      <c r="G56" s="147"/>
      <c r="H56" s="295"/>
      <c r="I56" s="604">
        <f>VLOOKUP(A56,Data!A:E,5,FALSE)*place</f>
        <v>0</v>
      </c>
      <c r="J56" s="609">
        <f>IFERROR(VLOOKUP(A56,'NOR Special Units'!$B:$AF,31,FALSE)*Values!$D$28,0)</f>
        <v>0</v>
      </c>
      <c r="K56" s="607">
        <f>VLOOKUP(A56,Data!A:E,5,FALSE)*legacy</f>
        <v>0</v>
      </c>
      <c r="L56" s="428" cm="1">
        <f t="array" ref="L56">INDEX(Values!$D$1:$D$985,MATCH(1,(Values!$B$1:$B$985=F56)*(Values!$C$1:$C$985=D56),0))*VLOOKUP(A56,Data!$A$1:$F$1029,6,FALSE)</f>
        <v>0</v>
      </c>
      <c r="M56" s="157">
        <f>(VLOOKUP(A56,Data!$A$3:$X$81,18,FALSE)*IF(D56="Pri",TACT_PRI,TACT_SEC))+(VLOOKUP(A56,Data!$A$3:$X$81,19,FALSE)*IF(D56="Pri",SIGN_PRI,SIGN_SEC))+(VLOOKUP(A56,Data!$A$3:$X$81,20,FALSE)*IF(D56="Pri",NA_PRI,NA_SEC))+(VLOOKUP(A56,Data!$A$3:$X$81,21,FALSE)*IF(D56="Pri",asd_pri,asd_sec))+(VLOOKUP(A56,Data!$A$3:$X$81,22,FALSE)*IF(D56="Pri",MLD_PRI,MLD_SEC)+VLOOKUP(A56,Data!$A$3:$X$81,23,FALSE)*IF(D56="Pri",SEMH_PRI,SEMH_SEC))+(VLOOKUP(A56,Data!$A$3:$X$81,24,FALSE)*IF(D56="Pri",SLCN_PRI,SLCN_SEC))</f>
        <v>0</v>
      </c>
      <c r="N56" s="157">
        <f>(VLOOKUP(A56,Data!$A$3:$AD$81,26,FALSE)*IF(D56="Pri",NA_PRI,NA_SEC))+(VLOOKUP(A56,Data!$A$3:$AD$81,27,FALSE)*IF(D56="Pri",asd_pri,asd_sec))+(VLOOKUP(A56,Data!$A$3:$AD$81,28,FALSE)*IF(D56="Pri",MLD_PRI,MLD_SEC)+VLOOKUP(A56,Data!$A$3:$AD$81,29,FALSE)*IF(D56="Pri",SEMH_PRI,SEMH_SEC))+(VLOOKUP(A56,Data!$A$3:$AD$81,30,FALSE)*IF(D56="Pri",SLCN_PRI,SLCN_SEC))</f>
        <v>0</v>
      </c>
      <c r="O56" s="304">
        <f t="shared" si="4"/>
        <v>0</v>
      </c>
      <c r="P56" s="159">
        <f t="shared" si="31"/>
        <v>0</v>
      </c>
      <c r="Q56" s="160">
        <f>VLOOKUP($A56,MFG!$A$7:$AC$85,29,FALSE)*VLOOKUP($A56,Data!$A$4:$E$81,5,FALSE)</f>
        <v>0</v>
      </c>
      <c r="R56" s="167">
        <f t="shared" si="5"/>
        <v>0</v>
      </c>
      <c r="S56" s="162"/>
      <c r="T56" s="255">
        <f>_xlfn.IFNA(VLOOKUP(A56,'2025-26 Budget Share'!$A$5:$W$62,17,FALSE),0)</f>
        <v>0</v>
      </c>
      <c r="U56" s="305">
        <f t="shared" si="1"/>
        <v>0</v>
      </c>
      <c r="V56" s="305">
        <f t="shared" si="32"/>
        <v>0</v>
      </c>
      <c r="W56" s="305">
        <f>_xlfn.IFNA(VLOOKUP(A56,'2025-26 Budget Share'!$A$5:$W$62,21,FALSE),0)</f>
        <v>0</v>
      </c>
      <c r="X56" s="256">
        <f t="shared" si="6"/>
        <v>0</v>
      </c>
      <c r="Y56" s="446">
        <f>_xlfn.XLOOKUP(A56,Data!$D$87:$D$164,Data!$F$87:$F$164)*'Budget Shares'!E56</f>
        <v>0</v>
      </c>
      <c r="Z56" s="163"/>
      <c r="AA56" s="163">
        <f t="shared" si="33"/>
        <v>0</v>
      </c>
      <c r="AB56" s="163"/>
      <c r="AC56" s="102"/>
      <c r="AD56" s="102"/>
      <c r="AE56" s="102"/>
      <c r="AF56" s="102"/>
      <c r="AG56" s="102"/>
      <c r="AH56" s="102"/>
      <c r="AI56" s="102"/>
      <c r="AJ56" s="102"/>
      <c r="AK56" s="102"/>
      <c r="AL56" s="102"/>
      <c r="AM56" s="102"/>
      <c r="AN56" s="102"/>
      <c r="AO56" s="102"/>
    </row>
    <row r="57" spans="1:41">
      <c r="A57" s="168">
        <v>8504110</v>
      </c>
      <c r="B57" s="306" t="s">
        <v>29</v>
      </c>
      <c r="C57" s="147" t="str">
        <f>VLOOKUP(RIGHT(A57,4)*1,APN!A:C,3,FALSE)</f>
        <v>Academy</v>
      </c>
      <c r="D57" s="147" t="str">
        <f>VLOOKUP(A57,Data!$A$3:$I$81,9,FALSE)</f>
        <v>SEC</v>
      </c>
      <c r="E57" s="165">
        <f>VLOOKUP(A57,Data!A:E,5,FALSE)</f>
        <v>21.75</v>
      </c>
      <c r="F57" s="147" t="str">
        <f>VLOOKUP(A57,Data!$A$3:$J$81,10,FALSE)</f>
        <v>SpLD</v>
      </c>
      <c r="G57" s="147" t="s">
        <v>141</v>
      </c>
      <c r="H57" s="295"/>
      <c r="I57" s="604">
        <f>VLOOKUP(A57,Data!A:E,5,FALSE)*place</f>
        <v>130500</v>
      </c>
      <c r="J57" s="609">
        <f>IFERROR(VLOOKUP(A57,'NOR Special Units'!$B:$AF,31,FALSE)*Values!$D$28,0)</f>
        <v>40000</v>
      </c>
      <c r="K57" s="607">
        <f>VLOOKUP(A57,Data!A:E,5,FALSE)*legacy</f>
        <v>11896.608297939752</v>
      </c>
      <c r="L57" s="428" cm="1">
        <f t="array" ref="L57">INDEX(Values!$D$1:$D$985,MATCH(1,(Values!$B$1:$B$985=F57)*(Values!$C$1:$C$985=D57),0))*VLOOKUP(A57,Data!$A$1:$F$1029,6,FALSE)</f>
        <v>6555</v>
      </c>
      <c r="M57" s="157">
        <f>(VLOOKUP(A57,Data!$A$3:$X$81,18,FALSE)*IF(D57="Pri",TACT_PRI,TACT_SEC))+(VLOOKUP(A57,Data!$A$3:$X$81,19,FALSE)*IF(D57="Pri",SIGN_PRI,SIGN_SEC))+(VLOOKUP(A57,Data!$A$3:$X$81,20,FALSE)*IF(D57="Pri",NA_PRI,NA_SEC))+(VLOOKUP(A57,Data!$A$3:$X$81,21,FALSE)*IF(D57="Pri",asd_pri,asd_sec))+(VLOOKUP(A57,Data!$A$3:$X$81,22,FALSE)*IF(D57="Pri",MLD_PRI,MLD_SEC)+VLOOKUP(A57,Data!$A$3:$X$81,23,FALSE)*IF(D57="Pri",SEMH_PRI,SEMH_SEC))+(VLOOKUP(A57,Data!$A$3:$X$81,24,FALSE)*IF(D57="Pri",SLCN_PRI,SLCN_SEC))</f>
        <v>171637.25</v>
      </c>
      <c r="N57" s="157">
        <f>(VLOOKUP(A57,Data!$A$3:$AD$81,26,FALSE)*IF(D57="Pri",NA_PRI,NA_SEC))+(VLOOKUP(A57,Data!$A$3:$AD$81,27,FALSE)*IF(D57="Pri",asd_pri,asd_sec))+(VLOOKUP(A57,Data!$A$3:$AD$81,28,FALSE)*IF(D57="Pri",MLD_PRI,MLD_SEC)+VLOOKUP(A57,Data!$A$3:$AD$81,29,FALSE)*IF(D57="Pri",SEMH_PRI,SEMH_SEC))+(VLOOKUP(A57,Data!$A$3:$AD$81,30,FALSE)*IF(D57="Pri",SLCN_PRI,SLCN_SEC))</f>
        <v>0</v>
      </c>
      <c r="O57" s="304">
        <f t="shared" si="4"/>
        <v>178192.25</v>
      </c>
      <c r="P57" s="159">
        <f t="shared" si="31"/>
        <v>8192.7471264367814</v>
      </c>
      <c r="Q57" s="160">
        <f>VLOOKUP($A57,MFG!$A$7:$AC$85,29,FALSE)*VLOOKUP($A57,Data!$A$4:$E$81,5,FALSE)</f>
        <v>0</v>
      </c>
      <c r="R57" s="167">
        <f t="shared" si="5"/>
        <v>178192.25</v>
      </c>
      <c r="S57" s="162"/>
      <c r="T57" s="255">
        <f>_xlfn.IFNA(VLOOKUP(A57,'2025-26 Budget Share'!$A$5:$W$62,17,FALSE),0)</f>
        <v>136246.66666666666</v>
      </c>
      <c r="U57" s="305">
        <f t="shared" si="1"/>
        <v>41945.583333333343</v>
      </c>
      <c r="V57" s="305">
        <f t="shared" si="32"/>
        <v>8192.7471264367814</v>
      </c>
      <c r="W57" s="305">
        <f>_xlfn.IFNA(VLOOKUP(A57,'2025-26 Budget Share'!$A$5:$W$62,21,FALSE),0)</f>
        <v>6812.333333333333</v>
      </c>
      <c r="X57" s="256">
        <f t="shared" si="6"/>
        <v>1380.4137931034484</v>
      </c>
      <c r="Y57" s="446">
        <f>_xlfn.XLOOKUP(A57,Data!$D$87:$D$164,Data!$F$87:$F$164)*'Budget Shares'!E57</f>
        <v>8053.5900000000011</v>
      </c>
      <c r="Z57" s="163"/>
      <c r="AA57" s="163">
        <f t="shared" si="33"/>
        <v>0</v>
      </c>
      <c r="AB57" s="163"/>
      <c r="AC57" s="102"/>
      <c r="AD57" s="102"/>
      <c r="AE57" s="102"/>
      <c r="AF57" s="102"/>
      <c r="AG57" s="102"/>
      <c r="AH57" s="102"/>
      <c r="AI57" s="102"/>
      <c r="AJ57" s="102"/>
      <c r="AK57" s="102"/>
      <c r="AL57" s="102"/>
      <c r="AM57" s="102"/>
      <c r="AN57" s="102"/>
      <c r="AO57" s="102"/>
    </row>
    <row r="58" spans="1:41">
      <c r="A58" s="168">
        <v>8504113</v>
      </c>
      <c r="B58" s="306" t="s">
        <v>30</v>
      </c>
      <c r="C58" s="147" t="str">
        <f>VLOOKUP(RIGHT(A58,4)*1,APN!A:C,3,FALSE)</f>
        <v>Maintained</v>
      </c>
      <c r="D58" s="147" t="str">
        <f>VLOOKUP(A58,Data!$A$3:$I$81,9,FALSE)</f>
        <v>SEC</v>
      </c>
      <c r="E58" s="165">
        <f>VLOOKUP(A58,Data!A:E,5,FALSE)</f>
        <v>17.083333333333336</v>
      </c>
      <c r="F58" s="147" t="str">
        <f>VLOOKUP(A58,Data!$A$3:$J$81,10,FALSE)</f>
        <v>VI</v>
      </c>
      <c r="G58" s="147"/>
      <c r="H58" s="295"/>
      <c r="I58" s="604">
        <f>VLOOKUP(A58,Data!A:E,5,FALSE)*place</f>
        <v>102500.00000000001</v>
      </c>
      <c r="J58" s="609">
        <f>IFERROR(VLOOKUP(A58,'NOR Special Units'!$B:$AF,31,FALSE)*Values!$D$28,0)</f>
        <v>0</v>
      </c>
      <c r="K58" s="607">
        <f>VLOOKUP(A58,Data!A:E,5,FALSE)*legacy</f>
        <v>9344.0793144737527</v>
      </c>
      <c r="L58" s="428" cm="1">
        <f t="array" ref="L58">INDEX(Values!$D$1:$D$985,MATCH(1,(Values!$B$1:$B$985=F58)*(Values!$C$1:$C$985=D58),0))*VLOOKUP(A58,Data!$A$1:$F$1029,6,FALSE)</f>
        <v>217522.08333333337</v>
      </c>
      <c r="M58" s="157">
        <f>(VLOOKUP(A58,Data!$A$3:$X$81,18,FALSE)*IF(D58="Pri",TACT_PRI,TACT_SEC))+(VLOOKUP(A58,Data!$A$3:$X$81,19,FALSE)*IF(D58="Pri",SIGN_PRI,SIGN_SEC))+(VLOOKUP(A58,Data!$A$3:$X$81,20,FALSE)*IF(D58="Pri",NA_PRI,NA_SEC))+(VLOOKUP(A58,Data!$A$3:$X$81,21,FALSE)*IF(D58="Pri",asd_pri,asd_sec))+(VLOOKUP(A58,Data!$A$3:$X$81,22,FALSE)*IF(D58="Pri",MLD_PRI,MLD_SEC)+VLOOKUP(A58,Data!$A$3:$X$81,23,FALSE)*IF(D58="Pri",SEMH_PRI,SEMH_SEC))+(VLOOKUP(A58,Data!$A$3:$X$81,24,FALSE)*IF(D58="Pri",SLCN_PRI,SLCN_SEC))</f>
        <v>6633</v>
      </c>
      <c r="N58" s="157">
        <f>(VLOOKUP(A58,Data!$A$3:$AD$81,26,FALSE)*IF(D58="Pri",NA_PRI,NA_SEC))+(VLOOKUP(A58,Data!$A$3:$AD$81,27,FALSE)*IF(D58="Pri",asd_pri,asd_sec))+(VLOOKUP(A58,Data!$A$3:$AD$81,28,FALSE)*IF(D58="Pri",MLD_PRI,MLD_SEC)+VLOOKUP(A58,Data!$A$3:$AD$81,29,FALSE)*IF(D58="Pri",SEMH_PRI,SEMH_SEC))+(VLOOKUP(A58,Data!$A$3:$AD$81,30,FALSE)*IF(D58="Pri",SLCN_PRI,SLCN_SEC))</f>
        <v>0</v>
      </c>
      <c r="O58" s="304">
        <f t="shared" si="4"/>
        <v>224155.08333333337</v>
      </c>
      <c r="P58" s="159">
        <f t="shared" si="31"/>
        <v>13121.273170731707</v>
      </c>
      <c r="Q58" s="160">
        <f>VLOOKUP($A58,MFG!$A$7:$AC$85,29,FALSE)*VLOOKUP($A58,Data!$A$4:$E$81,5,FALSE)</f>
        <v>0</v>
      </c>
      <c r="R58" s="167">
        <f t="shared" si="5"/>
        <v>224155.08333333337</v>
      </c>
      <c r="S58" s="162"/>
      <c r="T58" s="255">
        <f>_xlfn.IFNA(VLOOKUP(A58,'2025-26 Budget Share'!$A$5:$W$62,17,FALSE),0)</f>
        <v>254527.57666666666</v>
      </c>
      <c r="U58" s="305">
        <f t="shared" si="1"/>
        <v>-30372.493333333288</v>
      </c>
      <c r="V58" s="305">
        <f t="shared" si="32"/>
        <v>13121.273170731707</v>
      </c>
      <c r="W58" s="305">
        <f>_xlfn.IFNA(VLOOKUP(A58,'2025-26 Budget Share'!$A$5:$W$62,21,FALSE),0)</f>
        <v>12997.152851063827</v>
      </c>
      <c r="X58" s="256">
        <f t="shared" si="6"/>
        <v>124.12031966787981</v>
      </c>
      <c r="Y58" s="446">
        <f>_xlfn.XLOOKUP(A58,Data!$D$87:$D$164,Data!$F$87:$F$164)*'Budget Shares'!E58</f>
        <v>10951.1</v>
      </c>
      <c r="Z58" s="163"/>
      <c r="AA58" s="163">
        <f t="shared" si="33"/>
        <v>0</v>
      </c>
      <c r="AB58" s="163"/>
      <c r="AC58" s="102"/>
      <c r="AD58" s="102"/>
      <c r="AE58" s="102"/>
      <c r="AF58" s="102"/>
      <c r="AG58" s="102"/>
      <c r="AH58" s="102"/>
      <c r="AI58" s="102"/>
      <c r="AJ58" s="102"/>
      <c r="AK58" s="102"/>
      <c r="AL58" s="102"/>
      <c r="AM58" s="102"/>
      <c r="AN58" s="102"/>
      <c r="AO58" s="102"/>
    </row>
    <row r="59" spans="1:41">
      <c r="A59" s="168">
        <v>8504119</v>
      </c>
      <c r="B59" s="549" t="s">
        <v>173</v>
      </c>
      <c r="C59" s="147" t="str">
        <f>VLOOKUP(RIGHT(A59,4)*1,APN!A:C,3,FALSE)</f>
        <v>Maintained</v>
      </c>
      <c r="D59" s="147" t="str">
        <f>VLOOKUP(A59,Data!$A$3:$I$81,9,FALSE)</f>
        <v>SEC</v>
      </c>
      <c r="E59" s="165">
        <f>VLOOKUP(A59,Data!A:E,5,FALSE)</f>
        <v>4.0833333333333339</v>
      </c>
      <c r="F59" s="147" t="str">
        <f>VLOOKUP(A59,Data!$A$3:$J$81,10,FALSE)</f>
        <v>ASC</v>
      </c>
      <c r="G59" s="147"/>
      <c r="H59" s="295"/>
      <c r="I59" s="604">
        <f>VLOOKUP(A59,Data!A:E,5,FALSE)*place</f>
        <v>24500.000000000004</v>
      </c>
      <c r="J59" s="609">
        <f>IFERROR(VLOOKUP(A59,'NOR Special Units'!$B:$AF,31,FALSE)*Values!$D$28,0)</f>
        <v>16333.333333333332</v>
      </c>
      <c r="K59" s="607">
        <f>VLOOKUP(A59,Data!A:E,5,FALSE)*legacy</f>
        <v>2233.4628605327507</v>
      </c>
      <c r="L59" s="428" cm="1">
        <f t="array" ref="L59">INDEX(Values!$D$1:$D$985,MATCH(1,(Values!$B$1:$B$985=F59)*(Values!$C$1:$C$985=D59),0))*VLOOKUP(A59,Data!$A$1:$F$1029,6,FALSE)</f>
        <v>41841.916666666664</v>
      </c>
      <c r="M59" s="157">
        <f>(VLOOKUP(A59,Data!$A$3:$X$81,18,FALSE)*IF(D59="Pri",TACT_PRI,TACT_SEC))+(VLOOKUP(A59,Data!$A$3:$X$81,19,FALSE)*IF(D59="Pri",SIGN_PRI,SIGN_SEC))+(VLOOKUP(A59,Data!$A$3:$X$81,20,FALSE)*IF(D59="Pri",NA_PRI,NA_SEC))+(VLOOKUP(A59,Data!$A$3:$X$81,21,FALSE)*IF(D59="Pri",asd_pri,asd_sec))+(VLOOKUP(A59,Data!$A$3:$X$81,22,FALSE)*IF(D59="Pri",MLD_PRI,MLD_SEC)+VLOOKUP(A59,Data!$A$3:$X$81,23,FALSE)*IF(D59="Pri",SEMH_PRI,SEMH_SEC))+(VLOOKUP(A59,Data!$A$3:$X$81,24,FALSE)*IF(D59="Pri",SLCN_PRI,SLCN_SEC))</f>
        <v>0</v>
      </c>
      <c r="N59" s="157">
        <f>(VLOOKUP(A59,Data!$A$3:$AD$81,26,FALSE)*IF(D59="Pri",NA_PRI,NA_SEC))+(VLOOKUP(A59,Data!$A$3:$AD$81,27,FALSE)*IF(D59="Pri",asd_pri,asd_sec))+(VLOOKUP(A59,Data!$A$3:$AD$81,28,FALSE)*IF(D59="Pri",MLD_PRI,MLD_SEC)+VLOOKUP(A59,Data!$A$3:$AD$81,29,FALSE)*IF(D59="Pri",SEMH_PRI,SEMH_SEC))+(VLOOKUP(A59,Data!$A$3:$AD$81,30,FALSE)*IF(D59="Pri",SLCN_PRI,SLCN_SEC))</f>
        <v>0</v>
      </c>
      <c r="O59" s="304">
        <f t="shared" si="4"/>
        <v>41841.916666666664</v>
      </c>
      <c r="P59" s="159">
        <f t="shared" si="31"/>
        <v>10246.999999999998</v>
      </c>
      <c r="Q59" s="160">
        <f>VLOOKUP($A59,MFG!$A$7:$AC$85,29,FALSE)*VLOOKUP($A59,Data!$A$4:$E$81,5,FALSE)</f>
        <v>0</v>
      </c>
      <c r="R59" s="167">
        <f t="shared" si="5"/>
        <v>41841.916666666664</v>
      </c>
      <c r="S59" s="162"/>
      <c r="T59" s="255">
        <f>_xlfn.IFNA(VLOOKUP(A59,'2025-26 Budget Share'!$A$5:$W$62,17,FALSE),0)</f>
        <v>0</v>
      </c>
      <c r="U59" s="305">
        <f t="shared" si="1"/>
        <v>41841.916666666664</v>
      </c>
      <c r="V59" s="305">
        <f t="shared" si="32"/>
        <v>10246.999999999998</v>
      </c>
      <c r="W59" s="305">
        <f>_xlfn.IFNA(VLOOKUP(A59,'2025-26 Budget Share'!$A$5:$W$62,21,FALSE),0)</f>
        <v>0</v>
      </c>
      <c r="X59" s="256">
        <f t="shared" si="6"/>
        <v>10246.999999999998</v>
      </c>
      <c r="Y59" s="446">
        <f>_xlfn.XLOOKUP(A59,Data!$D$87:$D$164,Data!$F$87:$F$164)*'Budget Shares'!E59</f>
        <v>2085.5600000000004</v>
      </c>
      <c r="Z59" s="163"/>
      <c r="AA59" s="163">
        <f t="shared" si="33"/>
        <v>0</v>
      </c>
      <c r="AB59" s="163"/>
      <c r="AC59" s="102"/>
      <c r="AD59" s="102"/>
      <c r="AE59" s="102"/>
      <c r="AF59" s="102"/>
      <c r="AG59" s="102"/>
      <c r="AH59" s="102"/>
      <c r="AI59" s="102"/>
      <c r="AJ59" s="102"/>
      <c r="AK59" s="102"/>
      <c r="AL59" s="102"/>
      <c r="AM59" s="102"/>
      <c r="AN59" s="102"/>
      <c r="AO59" s="102"/>
    </row>
    <row r="60" spans="1:41">
      <c r="A60" s="168">
        <v>8504128</v>
      </c>
      <c r="B60" s="306" t="s">
        <v>31</v>
      </c>
      <c r="C60" s="147" t="str">
        <f>VLOOKUP(RIGHT(A60,4)*1,APN!A:C,3,FALSE)</f>
        <v>Academy</v>
      </c>
      <c r="D60" s="147" t="str">
        <f>VLOOKUP(A60,Data!$A$3:$I$81,9,FALSE)</f>
        <v>SEC</v>
      </c>
      <c r="E60" s="165">
        <f>VLOOKUP(A60,Data!A:E,5,FALSE)</f>
        <v>21</v>
      </c>
      <c r="F60" s="147" t="str">
        <f>VLOOKUP(A60,Data!$A$3:$J$81,10,FALSE)</f>
        <v>PD - S</v>
      </c>
      <c r="G60" s="147" t="s">
        <v>130</v>
      </c>
      <c r="H60" s="295"/>
      <c r="I60" s="604">
        <f>VLOOKUP(A60,Data!A:E,5,FALSE)*place</f>
        <v>126000</v>
      </c>
      <c r="J60" s="609">
        <f>IFERROR(VLOOKUP(A60,'NOR Special Units'!$B:$AF,31,FALSE)*Values!$D$28,0)</f>
        <v>16000</v>
      </c>
      <c r="K60" s="607">
        <f>VLOOKUP(A60,Data!A:E,5,FALSE)*legacy</f>
        <v>11486.380425597003</v>
      </c>
      <c r="L60" s="428" cm="1">
        <f t="array" ref="L60">INDEX(Values!$D$1:$D$985,MATCH(1,(Values!$B$1:$B$985=F60)*(Values!$C$1:$C$985=D60),0))*VLOOKUP(A60,Data!$A$1:$F$1029,6,FALSE)</f>
        <v>73540</v>
      </c>
      <c r="M60" s="157">
        <f>(VLOOKUP(A60,Data!$A$3:$X$81,18,FALSE)*IF(D60="Pri",TACT_PRI,TACT_SEC))+(VLOOKUP(A60,Data!$A$3:$X$81,19,FALSE)*IF(D60="Pri",SIGN_PRI,SIGN_SEC))+(VLOOKUP(A60,Data!$A$3:$X$81,20,FALSE)*IF(D60="Pri",NA_PRI,NA_SEC))+(VLOOKUP(A60,Data!$A$3:$X$81,21,FALSE)*IF(D60="Pri",asd_pri,asd_sec))+(VLOOKUP(A60,Data!$A$3:$X$81,22,FALSE)*IF(D60="Pri",MLD_PRI,MLD_SEC)+VLOOKUP(A60,Data!$A$3:$X$81,23,FALSE)*IF(D60="Pri",SEMH_PRI,SEMH_SEC))+(VLOOKUP(A60,Data!$A$3:$X$81,24,FALSE)*IF(D60="Pri",SLCN_PRI,SLCN_SEC))</f>
        <v>185312</v>
      </c>
      <c r="N60" s="157">
        <f>(VLOOKUP(A60,Data!$A$3:$AD$81,26,FALSE)*IF(D60="Pri",NA_PRI,NA_SEC))+(VLOOKUP(A60,Data!$A$3:$AD$81,27,FALSE)*IF(D60="Pri",asd_pri,asd_sec))+(VLOOKUP(A60,Data!$A$3:$AD$81,28,FALSE)*IF(D60="Pri",MLD_PRI,MLD_SEC)+VLOOKUP(A60,Data!$A$3:$AD$81,29,FALSE)*IF(D60="Pri",SEMH_PRI,SEMH_SEC))+(VLOOKUP(A60,Data!$A$3:$AD$81,30,FALSE)*IF(D60="Pri",SLCN_PRI,SLCN_SEC))</f>
        <v>0</v>
      </c>
      <c r="O60" s="304">
        <f t="shared" si="4"/>
        <v>258852</v>
      </c>
      <c r="P60" s="159">
        <f t="shared" si="31"/>
        <v>12326.285714285714</v>
      </c>
      <c r="Q60" s="160">
        <f>VLOOKUP($A60,MFG!$A$7:$AC$85,29,FALSE)*VLOOKUP($A60,Data!$A$4:$E$81,5,FALSE)</f>
        <v>0</v>
      </c>
      <c r="R60" s="167">
        <f t="shared" si="5"/>
        <v>258852</v>
      </c>
      <c r="S60" s="162"/>
      <c r="T60" s="255">
        <f>_xlfn.IFNA(VLOOKUP(A60,'2025-26 Budget Share'!$A$5:$W$62,17,FALSE),0)</f>
        <v>222880</v>
      </c>
      <c r="U60" s="305">
        <f t="shared" si="1"/>
        <v>35972</v>
      </c>
      <c r="V60" s="305">
        <f t="shared" si="32"/>
        <v>12326.285714285714</v>
      </c>
      <c r="W60" s="305">
        <f>_xlfn.IFNA(VLOOKUP(A60,'2025-26 Budget Share'!$A$5:$W$62,21,FALSE),0)</f>
        <v>12047.567567567568</v>
      </c>
      <c r="X60" s="256">
        <f t="shared" si="6"/>
        <v>278.71814671814536</v>
      </c>
      <c r="Y60" s="446">
        <f>_xlfn.XLOOKUP(A60,Data!$D$87:$D$164,Data!$F$87:$F$164)*'Budget Shares'!E60</f>
        <v>10126.200000000001</v>
      </c>
      <c r="Z60" s="163"/>
      <c r="AA60" s="163">
        <f t="shared" si="33"/>
        <v>0</v>
      </c>
      <c r="AB60" s="163"/>
      <c r="AC60" s="102" t="s">
        <v>147</v>
      </c>
      <c r="AD60" s="102">
        <f>SUMIFS(APN!L:L,APN!A:A,RIGHT(A60,4)*1,APN!H:H,"SEMH")</f>
        <v>16</v>
      </c>
      <c r="AE60" s="151">
        <f>AD60*6000</f>
        <v>96000</v>
      </c>
      <c r="AF60" s="151">
        <f>AD60*4000</f>
        <v>64000</v>
      </c>
      <c r="AG60" s="151">
        <f>IF(D60="PRI",SEMH_PRI,IF(D60="SEC",SEMH_SEC,0))*AD60</f>
        <v>185312</v>
      </c>
      <c r="AH60" s="151">
        <f>_xlfn.XLOOKUP(A60,MFG!A:A,MFG!AC:AC)*AD60</f>
        <v>0</v>
      </c>
      <c r="AI60" s="151" t="e">
        <f>_xlfn.XLOOKUP(A60,Data!A:A,Data!#REF!)/_xlfn.XLOOKUP(A60,Data!A:A,Data!E:E)*AD60</f>
        <v>#REF!</v>
      </c>
      <c r="AJ60" s="151"/>
      <c r="AK60" s="151"/>
      <c r="AL60" s="151" t="e">
        <f>SUM(AE60:AK60)</f>
        <v>#REF!</v>
      </c>
      <c r="AM60" s="151" t="e">
        <f>AL60/AD60</f>
        <v>#REF!</v>
      </c>
      <c r="AN60" s="151"/>
      <c r="AO60" s="151"/>
    </row>
    <row r="61" spans="1:41">
      <c r="A61" s="168">
        <v>8504130</v>
      </c>
      <c r="B61" s="306" t="s">
        <v>174</v>
      </c>
      <c r="C61" s="147" t="str">
        <f>VLOOKUP(RIGHT(A61,4)*1,APN!A:C,3,FALSE)</f>
        <v>Academy</v>
      </c>
      <c r="D61" s="147" t="str">
        <f>VLOOKUP(A61,Data!$A$3:$I$81,9,FALSE)</f>
        <v>SEC</v>
      </c>
      <c r="E61" s="165">
        <f>VLOOKUP(A61,Data!A:E,5,FALSE)</f>
        <v>12.916666666666668</v>
      </c>
      <c r="F61" s="147" t="s">
        <v>130</v>
      </c>
      <c r="G61" s="147"/>
      <c r="H61" s="295"/>
      <c r="I61" s="604">
        <f>VLOOKUP(A61,Data!A:E,5,FALSE)*place</f>
        <v>77500</v>
      </c>
      <c r="J61" s="609">
        <f>IFERROR(VLOOKUP(A61,'NOR Special Units'!$B:$AF,31,FALSE)*Values!$D$28,0)</f>
        <v>24000</v>
      </c>
      <c r="K61" s="607">
        <f>VLOOKUP(A61,Data!A:E,5,FALSE)*legacy</f>
        <v>7065.0355792362516</v>
      </c>
      <c r="L61" s="428" cm="1">
        <f t="array" ref="L61">INDEX(Values!$D$1:$D$985,MATCH(1,(Values!$B$1:$B$985=F61)*(Values!$C$1:$C$985=D61),0))*VLOOKUP(A61,Data!$A$1:$F$1029,6,FALSE)</f>
        <v>149600.83333333334</v>
      </c>
      <c r="M61" s="157">
        <f>(VLOOKUP(A61,Data!$A$3:$X$81,18,FALSE)*IF(D61="Pri",TACT_PRI,TACT_SEC))+(VLOOKUP(A61,Data!$A$3:$X$81,19,FALSE)*IF(D61="Pri",SIGN_PRI,SIGN_SEC))+(VLOOKUP(A61,Data!$A$3:$X$81,20,FALSE)*IF(D61="Pri",NA_PRI,NA_SEC))+(VLOOKUP(A61,Data!$A$3:$X$81,21,FALSE)*IF(D61="Pri",asd_pri,asd_sec))+(VLOOKUP(A61,Data!$A$3:$X$81,22,FALSE)*IF(D61="Pri",MLD_PRI,MLD_SEC)+VLOOKUP(A61,Data!$A$3:$X$81,23,FALSE)*IF(D61="Pri",SEMH_PRI,SEMH_SEC))+(VLOOKUP(A61,Data!$A$3:$X$81,24,FALSE)*IF(D61="Pri",SLCN_PRI,SLCN_SEC))</f>
        <v>0</v>
      </c>
      <c r="N61" s="157">
        <f>(VLOOKUP(A61,Data!$A$3:$AD$81,26,FALSE)*IF(D61="Pri",NA_PRI,NA_SEC))+(VLOOKUP(A61,Data!$A$3:$AD$81,27,FALSE)*IF(D61="Pri",asd_pri,asd_sec))+(VLOOKUP(A61,Data!$A$3:$AD$81,28,FALSE)*IF(D61="Pri",MLD_PRI,MLD_SEC)+VLOOKUP(A61,Data!$A$3:$AD$81,29,FALSE)*IF(D61="Pri",SEMH_PRI,SEMH_SEC))+(VLOOKUP(A61,Data!$A$3:$AD$81,30,FALSE)*IF(D61="Pri",SLCN_PRI,SLCN_SEC))</f>
        <v>0</v>
      </c>
      <c r="O61" s="304">
        <f t="shared" ref="O61" si="40">L61+M61+N61</f>
        <v>149600.83333333334</v>
      </c>
      <c r="P61" s="159">
        <f t="shared" si="31"/>
        <v>11582</v>
      </c>
      <c r="Q61" s="160">
        <f>VLOOKUP($A61,MFG!$A$7:$AC$85,29,FALSE)*VLOOKUP($A61,Data!$A$4:$E$81,5,FALSE)</f>
        <v>0</v>
      </c>
      <c r="R61" s="167">
        <f t="shared" ref="R61" si="41">O61+Q61</f>
        <v>149600.83333333334</v>
      </c>
      <c r="S61" s="162"/>
      <c r="T61" s="255">
        <f>_xlfn.IFNA(VLOOKUP(A61,'2025-26 Budget Share'!$A$5:$W$62,17,FALSE),0)</f>
        <v>93499.999999999985</v>
      </c>
      <c r="U61" s="305">
        <f t="shared" ref="U61" si="42">R61-T61</f>
        <v>56100.833333333358</v>
      </c>
      <c r="V61" s="305">
        <f t="shared" si="32"/>
        <v>11582</v>
      </c>
      <c r="W61" s="305">
        <f>_xlfn.IFNA(VLOOKUP(A61,'2025-26 Budget Share'!$A$5:$W$62,21,FALSE),0)</f>
        <v>11219.999999999998</v>
      </c>
      <c r="X61" s="256">
        <f t="shared" ref="X61" si="43">V61-W61</f>
        <v>362.00000000000182</v>
      </c>
      <c r="Y61" s="446">
        <f>_xlfn.XLOOKUP(A61,Data!$D$87:$D$164,Data!$F$87:$F$164)*'Budget Shares'!E61</f>
        <v>4410.53</v>
      </c>
      <c r="Z61" s="163"/>
      <c r="AA61" s="163">
        <f t="shared" si="33"/>
        <v>0</v>
      </c>
      <c r="AB61" s="163"/>
      <c r="AC61" s="102"/>
      <c r="AD61" s="102"/>
      <c r="AE61" s="102"/>
      <c r="AF61" s="102"/>
      <c r="AG61" s="102"/>
      <c r="AH61" s="102"/>
      <c r="AI61" s="102"/>
      <c r="AJ61" s="102"/>
      <c r="AK61" s="102"/>
      <c r="AL61" s="102"/>
      <c r="AM61" s="102"/>
      <c r="AN61" s="102"/>
      <c r="AO61" s="102"/>
    </row>
    <row r="62" spans="1:41">
      <c r="A62" s="168">
        <v>8504133</v>
      </c>
      <c r="B62" s="306" t="s">
        <v>32</v>
      </c>
      <c r="C62" s="147" t="str">
        <f>VLOOKUP(RIGHT(A62,4)*1,APN!A:C,3,FALSE)</f>
        <v>Maintained</v>
      </c>
      <c r="D62" s="147" t="str">
        <f>VLOOKUP(A62,Data!$A$3:$I$81,9,FALSE)</f>
        <v>SEC</v>
      </c>
      <c r="E62" s="165">
        <f>VLOOKUP(A62,Data!A:E,5,FALSE)</f>
        <v>15</v>
      </c>
      <c r="F62" s="147" t="str">
        <f>VLOOKUP(A62,Data!$A$3:$J$81,10,FALSE)</f>
        <v>PD - L</v>
      </c>
      <c r="G62" s="147"/>
      <c r="H62" s="295"/>
      <c r="I62" s="604">
        <f>VLOOKUP(A62,Data!A:E,5,FALSE)*place</f>
        <v>90000</v>
      </c>
      <c r="J62" s="609">
        <f>IFERROR(VLOOKUP(A62,'NOR Special Units'!$B:$AF,31,FALSE)*Values!$D$28,0)</f>
        <v>0</v>
      </c>
      <c r="K62" s="607">
        <f>VLOOKUP(A62,Data!A:E,5,FALSE)*legacy</f>
        <v>8204.5574468550003</v>
      </c>
      <c r="L62" s="428" cm="1">
        <f t="array" ref="L62">INDEX(Values!$D$1:$D$985,MATCH(1,(Values!$B$1:$B$985=F62)*(Values!$C$1:$C$985=D62),0))*VLOOKUP(A62,Data!$A$1:$F$1029,6,FALSE)</f>
        <v>177060</v>
      </c>
      <c r="M62" s="157">
        <f>(VLOOKUP(A62,Data!$A$3:$X$81,18,FALSE)*IF(D62="Pri",TACT_PRI,TACT_SEC))+(VLOOKUP(A62,Data!$A$3:$X$81,19,FALSE)*IF(D62="Pri",SIGN_PRI,SIGN_SEC))+(VLOOKUP(A62,Data!$A$3:$X$81,20,FALSE)*IF(D62="Pri",NA_PRI,NA_SEC))+(VLOOKUP(A62,Data!$A$3:$X$81,21,FALSE)*IF(D62="Pri",asd_pri,asd_sec))+(VLOOKUP(A62,Data!$A$3:$X$81,22,FALSE)*IF(D62="Pri",MLD_PRI,MLD_SEC)+VLOOKUP(A62,Data!$A$3:$X$81,23,FALSE)*IF(D62="Pri",SEMH_PRI,SEMH_SEC))+(VLOOKUP(A62,Data!$A$3:$X$81,24,FALSE)*IF(D62="Pri",SLCN_PRI,SLCN_SEC))</f>
        <v>0</v>
      </c>
      <c r="N62" s="157">
        <f>(VLOOKUP(A62,Data!$A$3:$AD$81,26,FALSE)*IF(D62="Pri",NA_PRI,NA_SEC))+(VLOOKUP(A62,Data!$A$3:$AD$81,27,FALSE)*IF(D62="Pri",asd_pri,asd_sec))+(VLOOKUP(A62,Data!$A$3:$AD$81,28,FALSE)*IF(D62="Pri",MLD_PRI,MLD_SEC)+VLOOKUP(A62,Data!$A$3:$AD$81,29,FALSE)*IF(D62="Pri",SEMH_PRI,SEMH_SEC))+(VLOOKUP(A62,Data!$A$3:$AD$81,30,FALSE)*IF(D62="Pri",SLCN_PRI,SLCN_SEC))</f>
        <v>0</v>
      </c>
      <c r="O62" s="304">
        <f t="shared" si="4"/>
        <v>177060</v>
      </c>
      <c r="P62" s="159">
        <f t="shared" si="31"/>
        <v>11804</v>
      </c>
      <c r="Q62" s="160">
        <f>VLOOKUP($A62,MFG!$A$7:$AC$85,29,FALSE)*VLOOKUP($A62,Data!$A$4:$E$81,5,FALSE)</f>
        <v>0</v>
      </c>
      <c r="R62" s="167">
        <f t="shared" si="5"/>
        <v>177060</v>
      </c>
      <c r="S62" s="162"/>
      <c r="T62" s="255">
        <f>_xlfn.IFNA(VLOOKUP(A62,'2025-26 Budget Share'!$A$5:$W$62,17,FALSE),0)</f>
        <v>171555</v>
      </c>
      <c r="U62" s="305">
        <f t="shared" si="1"/>
        <v>5505</v>
      </c>
      <c r="V62" s="305">
        <f t="shared" si="32"/>
        <v>11804</v>
      </c>
      <c r="W62" s="305">
        <f>_xlfn.IFNA(VLOOKUP(A62,'2025-26 Budget Share'!$A$5:$W$62,21,FALSE),0)</f>
        <v>11437</v>
      </c>
      <c r="X62" s="256">
        <f t="shared" si="6"/>
        <v>367</v>
      </c>
      <c r="Y62" s="446">
        <f>_xlfn.XLOOKUP(A62,Data!$D$87:$D$164,Data!$F$87:$F$164)*'Budget Shares'!E62</f>
        <v>8396.25</v>
      </c>
      <c r="Z62" s="163"/>
      <c r="AA62" s="163">
        <f t="shared" si="33"/>
        <v>0</v>
      </c>
      <c r="AB62" s="163"/>
      <c r="AC62" s="102"/>
      <c r="AD62" s="102"/>
      <c r="AE62" s="102"/>
      <c r="AF62" s="102"/>
      <c r="AG62" s="102"/>
      <c r="AH62" s="102"/>
      <c r="AI62" s="102"/>
      <c r="AJ62" s="102"/>
      <c r="AK62" s="102"/>
      <c r="AL62" s="102"/>
      <c r="AM62" s="102"/>
      <c r="AN62" s="102"/>
      <c r="AO62" s="102"/>
    </row>
    <row r="63" spans="1:41">
      <c r="A63" s="168">
        <v>8504143</v>
      </c>
      <c r="B63" s="306" t="s">
        <v>33</v>
      </c>
      <c r="C63" s="147" t="str">
        <f>VLOOKUP(RIGHT(A63,4)*1,APN!A:C,3,FALSE)</f>
        <v>Academy</v>
      </c>
      <c r="D63" s="147" t="str">
        <f>VLOOKUP(A63,Data!$A$3:$I$81,9,FALSE)</f>
        <v>SEC</v>
      </c>
      <c r="E63" s="165">
        <f>VLOOKUP(A63,Data!A:E,5,FALSE)</f>
        <v>12</v>
      </c>
      <c r="F63" s="147" t="str">
        <f>VLOOKUP(A63,Data!$A$3:$J$81,10,FALSE)</f>
        <v>ASC</v>
      </c>
      <c r="G63" s="147"/>
      <c r="H63" s="295"/>
      <c r="I63" s="604">
        <f>VLOOKUP(A63,Data!A:E,5,FALSE)*place</f>
        <v>72000</v>
      </c>
      <c r="J63" s="609">
        <f>IFERROR(VLOOKUP(A63,'NOR Special Units'!$B:$AF,31,FALSE)*Values!$D$28,0)</f>
        <v>0</v>
      </c>
      <c r="K63" s="607">
        <f>VLOOKUP(A63,Data!A:E,5,FALSE)*legacy</f>
        <v>6563.645957484001</v>
      </c>
      <c r="L63" s="428" cm="1">
        <f t="array" ref="L63">INDEX(Values!$D$1:$D$985,MATCH(1,(Values!$B$1:$B$985=F63)*(Values!$C$1:$C$985=D63),0))*VLOOKUP(A63,Data!$A$1:$F$1029,6,FALSE)</f>
        <v>122964</v>
      </c>
      <c r="M63" s="157">
        <f>(VLOOKUP(A63,Data!$A$3:$X$81,18,FALSE)*IF(D63="Pri",TACT_PRI,TACT_SEC))+(VLOOKUP(A63,Data!$A$3:$X$81,19,FALSE)*IF(D63="Pri",SIGN_PRI,SIGN_SEC))+(VLOOKUP(A63,Data!$A$3:$X$81,20,FALSE)*IF(D63="Pri",NA_PRI,NA_SEC))+(VLOOKUP(A63,Data!$A$3:$X$81,21,FALSE)*IF(D63="Pri",asd_pri,asd_sec))+(VLOOKUP(A63,Data!$A$3:$X$81,22,FALSE)*IF(D63="Pri",MLD_PRI,MLD_SEC)+VLOOKUP(A63,Data!$A$3:$X$81,23,FALSE)*IF(D63="Pri",SEMH_PRI,SEMH_SEC))+(VLOOKUP(A63,Data!$A$3:$X$81,24,FALSE)*IF(D63="Pri",SLCN_PRI,SLCN_SEC))</f>
        <v>0</v>
      </c>
      <c r="N63" s="157">
        <f>(VLOOKUP(A63,Data!$A$3:$AD$81,26,FALSE)*IF(D63="Pri",NA_PRI,NA_SEC))+(VLOOKUP(A63,Data!$A$3:$AD$81,27,FALSE)*IF(D63="Pri",asd_pri,asd_sec))+(VLOOKUP(A63,Data!$A$3:$AD$81,28,FALSE)*IF(D63="Pri",MLD_PRI,MLD_SEC)+VLOOKUP(A63,Data!$A$3:$AD$81,29,FALSE)*IF(D63="Pri",SEMH_PRI,SEMH_SEC))+(VLOOKUP(A63,Data!$A$3:$AD$81,30,FALSE)*IF(D63="Pri",SLCN_PRI,SLCN_SEC))</f>
        <v>0</v>
      </c>
      <c r="O63" s="304">
        <f t="shared" si="4"/>
        <v>122964</v>
      </c>
      <c r="P63" s="159">
        <f t="shared" si="31"/>
        <v>10247</v>
      </c>
      <c r="Q63" s="160">
        <f>VLOOKUP($A63,MFG!$A$7:$AC$85,29,FALSE)*VLOOKUP($A63,Data!$A$4:$E$81,5,FALSE)</f>
        <v>0</v>
      </c>
      <c r="R63" s="167">
        <f t="shared" si="5"/>
        <v>122964</v>
      </c>
      <c r="S63" s="162"/>
      <c r="T63" s="255">
        <f>_xlfn.IFNA(VLOOKUP(A63,'2025-26 Budget Share'!$A$5:$W$62,17,FALSE),0)</f>
        <v>118944</v>
      </c>
      <c r="U63" s="305">
        <f t="shared" si="1"/>
        <v>4020</v>
      </c>
      <c r="V63" s="305">
        <f t="shared" si="32"/>
        <v>10247</v>
      </c>
      <c r="W63" s="305">
        <f>_xlfn.IFNA(VLOOKUP(A63,'2025-26 Budget Share'!$A$5:$W$62,21,FALSE),0)</f>
        <v>9912</v>
      </c>
      <c r="X63" s="256">
        <f t="shared" si="6"/>
        <v>335</v>
      </c>
      <c r="Y63" s="446">
        <f>_xlfn.XLOOKUP(A63,Data!$D$87:$D$164,Data!$F$87:$F$164)*'Budget Shares'!E63</f>
        <v>6129</v>
      </c>
      <c r="Z63" s="163"/>
      <c r="AA63" s="163">
        <f t="shared" si="33"/>
        <v>0</v>
      </c>
      <c r="AB63" s="163"/>
      <c r="AC63" s="102"/>
      <c r="AD63" s="102"/>
      <c r="AE63" s="102"/>
      <c r="AF63" s="102"/>
      <c r="AG63" s="102"/>
      <c r="AH63" s="102"/>
      <c r="AI63" s="102"/>
      <c r="AJ63" s="102"/>
      <c r="AK63" s="102"/>
      <c r="AL63" s="102"/>
      <c r="AM63" s="102"/>
      <c r="AN63" s="102"/>
      <c r="AO63" s="102"/>
    </row>
    <row r="64" spans="1:41">
      <c r="A64" s="168">
        <v>8504159</v>
      </c>
      <c r="B64" s="306" t="s">
        <v>175</v>
      </c>
      <c r="C64" s="147" t="str">
        <f>VLOOKUP(RIGHT(A64,4)*1,APN!A:C,3,FALSE)</f>
        <v>Maintained</v>
      </c>
      <c r="D64" s="147" t="str">
        <f>VLOOKUP(A64,Data!$A$3:$I$81,9,FALSE)</f>
        <v>SEC</v>
      </c>
      <c r="E64" s="165">
        <f>VLOOKUP(A64,Data!A:E,5,FALSE)</f>
        <v>7.9166666666666679</v>
      </c>
      <c r="F64" s="147" t="str">
        <f>VLOOKUP(A64,Data!$A$3:$J$81,10,FALSE)</f>
        <v>ASC</v>
      </c>
      <c r="G64" s="147"/>
      <c r="H64" s="295"/>
      <c r="I64" s="604">
        <f>VLOOKUP(A64,Data!A:E,5,FALSE)*place</f>
        <v>47500.000000000007</v>
      </c>
      <c r="J64" s="609">
        <f>IFERROR(VLOOKUP(A64,'NOR Special Units'!$B:$AF,31,FALSE)*Values!$D$28,0)</f>
        <v>11666.666666666664</v>
      </c>
      <c r="K64" s="607">
        <f>VLOOKUP(A64,Data!A:E,5,FALSE)*legacy</f>
        <v>4330.1830969512512</v>
      </c>
      <c r="L64" s="428" cm="1">
        <f t="array" ref="L64">INDEX(Values!$D$1:$D$985,MATCH(1,(Values!$B$1:$B$985=F64)*(Values!$C$1:$C$985=D64),0))*VLOOKUP(A64,Data!$A$1:$F$1029,6,FALSE)</f>
        <v>81122.083333333328</v>
      </c>
      <c r="M64" s="157">
        <f>(VLOOKUP(A64,Data!$A$3:$X$81,18,FALSE)*IF(D64="Pri",TACT_PRI,TACT_SEC))+(VLOOKUP(A64,Data!$A$3:$X$81,19,FALSE)*IF(D64="Pri",SIGN_PRI,SIGN_SEC))+(VLOOKUP(A64,Data!$A$3:$X$81,20,FALSE)*IF(D64="Pri",NA_PRI,NA_SEC))+(VLOOKUP(A64,Data!$A$3:$X$81,21,FALSE)*IF(D64="Pri",asd_pri,asd_sec))+(VLOOKUP(A64,Data!$A$3:$X$81,22,FALSE)*IF(D64="Pri",MLD_PRI,MLD_SEC)+VLOOKUP(A64,Data!$A$3:$X$81,23,FALSE)*IF(D64="Pri",SEMH_PRI,SEMH_SEC))+(VLOOKUP(A64,Data!$A$3:$X$81,24,FALSE)*IF(D64="Pri",SLCN_PRI,SLCN_SEC))</f>
        <v>0</v>
      </c>
      <c r="N64" s="157">
        <f>(VLOOKUP(A64,Data!$A$3:$AD$81,26,FALSE)*IF(D64="Pri",NA_PRI,NA_SEC))+(VLOOKUP(A64,Data!$A$3:$AD$81,27,FALSE)*IF(D64="Pri",asd_pri,asd_sec))+(VLOOKUP(A64,Data!$A$3:$AD$81,28,FALSE)*IF(D64="Pri",MLD_PRI,MLD_SEC)+VLOOKUP(A64,Data!$A$3:$AD$81,29,FALSE)*IF(D64="Pri",SEMH_PRI,SEMH_SEC))+(VLOOKUP(A64,Data!$A$3:$AD$81,30,FALSE)*IF(D64="Pri",SLCN_PRI,SLCN_SEC))</f>
        <v>0</v>
      </c>
      <c r="O64" s="304">
        <f t="shared" ref="O64:O65" si="44">L64+M64+N64</f>
        <v>81122.083333333328</v>
      </c>
      <c r="P64" s="159">
        <f t="shared" si="31"/>
        <v>10246.999999999998</v>
      </c>
      <c r="Q64" s="160">
        <f>VLOOKUP($A64,MFG!$A$7:$AC$85,29,FALSE)*VLOOKUP($A64,Data!$A$4:$E$81,5,FALSE)</f>
        <v>0</v>
      </c>
      <c r="R64" s="167">
        <f t="shared" ref="R64:R65" si="45">O64+Q64</f>
        <v>81122.083333333328</v>
      </c>
      <c r="S64" s="162"/>
      <c r="T64" s="255">
        <f>_xlfn.IFNA(VLOOKUP(A64,'2025-26 Budget Share'!$A$5:$W$62,17,FALSE),0)</f>
        <v>28910</v>
      </c>
      <c r="U64" s="305">
        <f t="shared" ref="U64:U65" si="46">R64-T64</f>
        <v>52212.083333333328</v>
      </c>
      <c r="V64" s="305">
        <f t="shared" si="32"/>
        <v>10246.999999999998</v>
      </c>
      <c r="W64" s="305">
        <f>_xlfn.IFNA(VLOOKUP(A64,'2025-26 Budget Share'!$A$5:$W$62,21,FALSE),0)</f>
        <v>9911.9999999999982</v>
      </c>
      <c r="X64" s="256">
        <f t="shared" ref="X64:X65" si="47">V64-W64</f>
        <v>335</v>
      </c>
      <c r="Y64" s="446">
        <f>_xlfn.XLOOKUP(A64,Data!$D$87:$D$164,Data!$F$87:$F$164)*'Budget Shares'!E64</f>
        <v>4043.440000000001</v>
      </c>
      <c r="Z64" s="163"/>
      <c r="AA64" s="163">
        <f t="shared" si="33"/>
        <v>0</v>
      </c>
      <c r="AB64" s="163"/>
      <c r="AC64" s="102"/>
      <c r="AD64" s="102"/>
      <c r="AE64" s="102"/>
      <c r="AF64" s="102"/>
      <c r="AG64" s="102"/>
      <c r="AH64" s="102"/>
      <c r="AI64" s="102"/>
      <c r="AJ64" s="102"/>
      <c r="AK64" s="102"/>
      <c r="AL64" s="102"/>
      <c r="AM64" s="102"/>
      <c r="AN64" s="102"/>
      <c r="AO64" s="102"/>
    </row>
    <row r="65" spans="1:41">
      <c r="A65" s="168">
        <v>8504163</v>
      </c>
      <c r="B65" s="549" t="s">
        <v>176</v>
      </c>
      <c r="C65" s="147" t="str">
        <f>VLOOKUP(RIGHT(A65,4)*1,APN!A:C,3,FALSE)</f>
        <v>Maintained</v>
      </c>
      <c r="D65" s="147" t="str">
        <f>VLOOKUP(A65,Data!$A$3:$I$81,9,FALSE)</f>
        <v>SEC</v>
      </c>
      <c r="E65" s="165">
        <f>VLOOKUP(A65,Data!A:E,5,FALSE)</f>
        <v>4.0833333333333339</v>
      </c>
      <c r="F65" s="147" t="str">
        <f>VLOOKUP(A65,Data!$A$3:$J$81,10,FALSE)</f>
        <v>ASC</v>
      </c>
      <c r="G65" s="147"/>
      <c r="H65" s="295"/>
      <c r="I65" s="604">
        <f>VLOOKUP(A65,Data!A:E,5,FALSE)*place</f>
        <v>24500.000000000004</v>
      </c>
      <c r="J65" s="609">
        <f>IFERROR(VLOOKUP(A65,'NOR Special Units'!$B:$AF,31,FALSE)*Values!$D$28,0)</f>
        <v>16333.333333333332</v>
      </c>
      <c r="K65" s="607">
        <f>VLOOKUP(A65,Data!A:E,5,FALSE)*legacy</f>
        <v>2233.4628605327507</v>
      </c>
      <c r="L65" s="428" cm="1">
        <f t="array" ref="L65">INDEX(Values!$D$1:$D$985,MATCH(1,(Values!$B$1:$B$985=F65)*(Values!$C$1:$C$985=D65),0))*VLOOKUP(A65,Data!$A$1:$F$1029,6,FALSE)</f>
        <v>41841.916666666664</v>
      </c>
      <c r="M65" s="157">
        <f>(VLOOKUP(A65,Data!$A$3:$X$81,18,FALSE)*IF(D65="Pri",TACT_PRI,TACT_SEC))+(VLOOKUP(A65,Data!$A$3:$X$81,19,FALSE)*IF(D65="Pri",SIGN_PRI,SIGN_SEC))+(VLOOKUP(A65,Data!$A$3:$X$81,20,FALSE)*IF(D65="Pri",NA_PRI,NA_SEC))+(VLOOKUP(A65,Data!$A$3:$X$81,21,FALSE)*IF(D65="Pri",asd_pri,asd_sec))+(VLOOKUP(A65,Data!$A$3:$X$81,22,FALSE)*IF(D65="Pri",MLD_PRI,MLD_SEC)+VLOOKUP(A65,Data!$A$3:$X$81,23,FALSE)*IF(D65="Pri",SEMH_PRI,SEMH_SEC))+(VLOOKUP(A65,Data!$A$3:$X$81,24,FALSE)*IF(D65="Pri",SLCN_PRI,SLCN_SEC))</f>
        <v>0</v>
      </c>
      <c r="N65" s="157">
        <f>(VLOOKUP(A65,Data!$A$3:$AD$81,26,FALSE)*IF(D65="Pri",NA_PRI,NA_SEC))+(VLOOKUP(A65,Data!$A$3:$AD$81,27,FALSE)*IF(D65="Pri",asd_pri,asd_sec))+(VLOOKUP(A65,Data!$A$3:$AD$81,28,FALSE)*IF(D65="Pri",MLD_PRI,MLD_SEC)+VLOOKUP(A65,Data!$A$3:$AD$81,29,FALSE)*IF(D65="Pri",SEMH_PRI,SEMH_SEC))+(VLOOKUP(A65,Data!$A$3:$AD$81,30,FALSE)*IF(D65="Pri",SLCN_PRI,SLCN_SEC))</f>
        <v>0</v>
      </c>
      <c r="O65" s="304">
        <f t="shared" si="44"/>
        <v>41841.916666666664</v>
      </c>
      <c r="P65" s="159">
        <f t="shared" si="31"/>
        <v>10246.999999999998</v>
      </c>
      <c r="Q65" s="160">
        <f>VLOOKUP($A65,MFG!$A$7:$AC$85,29,FALSE)*VLOOKUP($A65,Data!$A$4:$E$81,5,FALSE)</f>
        <v>0</v>
      </c>
      <c r="R65" s="167">
        <f t="shared" si="45"/>
        <v>41841.916666666664</v>
      </c>
      <c r="S65" s="162"/>
      <c r="T65" s="255">
        <f>_xlfn.IFNA(VLOOKUP(A65,'2025-26 Budget Share'!$A$5:$W$62,17,FALSE),0)</f>
        <v>0</v>
      </c>
      <c r="U65" s="305">
        <f t="shared" si="46"/>
        <v>41841.916666666664</v>
      </c>
      <c r="V65" s="305">
        <f t="shared" si="32"/>
        <v>10246.999999999998</v>
      </c>
      <c r="W65" s="305">
        <f>_xlfn.IFNA(VLOOKUP(A65,'2025-26 Budget Share'!$A$5:$W$62,21,FALSE),0)</f>
        <v>0</v>
      </c>
      <c r="X65" s="256">
        <f t="shared" si="47"/>
        <v>10246.999999999998</v>
      </c>
      <c r="Y65" s="446">
        <f>_xlfn.XLOOKUP(A65,Data!$D$87:$D$164,Data!$F$87:$F$164)*'Budget Shares'!E65</f>
        <v>2085.5600000000004</v>
      </c>
      <c r="Z65" s="163"/>
      <c r="AA65" s="163">
        <f t="shared" si="33"/>
        <v>0</v>
      </c>
      <c r="AB65" s="163"/>
      <c r="AC65" s="102"/>
      <c r="AD65" s="102"/>
      <c r="AE65" s="102"/>
      <c r="AF65" s="102"/>
      <c r="AG65" s="102"/>
      <c r="AH65" s="102"/>
      <c r="AI65" s="102"/>
      <c r="AJ65" s="102"/>
      <c r="AK65" s="102"/>
      <c r="AL65" s="102"/>
      <c r="AM65" s="102"/>
      <c r="AN65" s="102"/>
      <c r="AO65" s="102"/>
    </row>
    <row r="66" spans="1:41">
      <c r="A66" s="28">
        <v>8504173</v>
      </c>
      <c r="B66" s="368" t="s">
        <v>34</v>
      </c>
      <c r="C66" s="147" t="str">
        <f>VLOOKUP(RIGHT(A66,4)*1,APN!A:C,3,FALSE)</f>
        <v>Maintained</v>
      </c>
      <c r="D66" s="147" t="str">
        <f>VLOOKUP(A66,Data!$A$3:$I$81,9,FALSE)</f>
        <v>SEC</v>
      </c>
      <c r="E66" s="165">
        <f>VLOOKUP(A66,Data!A:E,5,FALSE)</f>
        <v>21</v>
      </c>
      <c r="F66" s="147" t="str">
        <f>VLOOKUP(A66,Data!$A$3:$J$81,10,FALSE)</f>
        <v>ASC</v>
      </c>
      <c r="G66" s="147"/>
      <c r="H66" s="295"/>
      <c r="I66" s="604">
        <f>VLOOKUP(A66,Data!A:E,5,FALSE)*place</f>
        <v>126000</v>
      </c>
      <c r="J66" s="609">
        <f>IFERROR(VLOOKUP(A66,'NOR Special Units'!$B:$AF,31,FALSE)*Values!$D$28,0)</f>
        <v>16000</v>
      </c>
      <c r="K66" s="607">
        <f>VLOOKUP(A66,Data!A:E,5,FALSE)*legacy</f>
        <v>11486.380425597003</v>
      </c>
      <c r="L66" s="428" cm="1">
        <f t="array" ref="L66">INDEX(Values!$D$1:$D$985,MATCH(1,(Values!$B$1:$B$985=F66)*(Values!$C$1:$C$985=D66),0))*VLOOKUP(A66,Data!$A$1:$F$1029,6,FALSE)</f>
        <v>215187</v>
      </c>
      <c r="M66" s="157">
        <f>(VLOOKUP(A66,Data!$A$3:$X$81,18,FALSE)*IF(D66="Pri",TACT_PRI,TACT_SEC))+(VLOOKUP(A66,Data!$A$3:$X$81,19,FALSE)*IF(D66="Pri",SIGN_PRI,SIGN_SEC))+(VLOOKUP(A66,Data!$A$3:$X$81,20,FALSE)*IF(D66="Pri",NA_PRI,NA_SEC))+(VLOOKUP(A66,Data!$A$3:$X$81,21,FALSE)*IF(D66="Pri",asd_pri,asd_sec))+(VLOOKUP(A66,Data!$A$3:$X$81,22,FALSE)*IF(D66="Pri",MLD_PRI,MLD_SEC)+VLOOKUP(A66,Data!$A$3:$X$81,23,FALSE)*IF(D66="Pri",SEMH_PRI,SEMH_SEC))+(VLOOKUP(A66,Data!$A$3:$X$81,24,FALSE)*IF(D66="Pri",SLCN_PRI,SLCN_SEC))</f>
        <v>0</v>
      </c>
      <c r="N66" s="157">
        <f>(VLOOKUP(A66,Data!$A$3:$AD$81,26,FALSE)*IF(D66="Pri",NA_PRI,NA_SEC))+(VLOOKUP(A66,Data!$A$3:$AD$81,27,FALSE)*IF(D66="Pri",asd_pri,asd_sec))+(VLOOKUP(A66,Data!$A$3:$AD$81,28,FALSE)*IF(D66="Pri",MLD_PRI,MLD_SEC)+VLOOKUP(A66,Data!$A$3:$AD$81,29,FALSE)*IF(D66="Pri",SEMH_PRI,SEMH_SEC))+(VLOOKUP(A66,Data!$A$3:$AD$81,30,FALSE)*IF(D66="Pri",SLCN_PRI,SLCN_SEC))</f>
        <v>0</v>
      </c>
      <c r="O66" s="304">
        <f t="shared" si="4"/>
        <v>215187</v>
      </c>
      <c r="P66" s="159">
        <f t="shared" si="31"/>
        <v>10247</v>
      </c>
      <c r="Q66" s="160">
        <f>VLOOKUP($A66,MFG!$A$7:$AC$85,29,FALSE)*VLOOKUP($A66,Data!$A$4:$E$81,5,FALSE)</f>
        <v>0</v>
      </c>
      <c r="R66" s="167">
        <f t="shared" si="5"/>
        <v>215187</v>
      </c>
      <c r="S66" s="162"/>
      <c r="T66" s="255">
        <f>_xlfn.IFNA(VLOOKUP(A66,'2025-26 Budget Share'!$A$5:$W$62,17,FALSE),0)</f>
        <v>160243.99999999997</v>
      </c>
      <c r="U66" s="305">
        <f t="shared" si="1"/>
        <v>54943.000000000029</v>
      </c>
      <c r="V66" s="305">
        <f t="shared" si="32"/>
        <v>10247</v>
      </c>
      <c r="W66" s="305">
        <f>_xlfn.IFNA(VLOOKUP(A66,'2025-26 Budget Share'!$A$5:$W$62,21,FALSE),0)</f>
        <v>9911.9999999999982</v>
      </c>
      <c r="X66" s="256">
        <f t="shared" si="6"/>
        <v>335.00000000000182</v>
      </c>
      <c r="Y66" s="446">
        <f>_xlfn.XLOOKUP(A66,Data!$D$87:$D$164,Data!$F$87:$F$164)*'Budget Shares'!E66</f>
        <v>10725.75</v>
      </c>
      <c r="Z66" s="163"/>
      <c r="AA66" s="163">
        <f t="shared" si="33"/>
        <v>0</v>
      </c>
      <c r="AB66" s="163"/>
      <c r="AC66" s="102"/>
      <c r="AD66" s="102"/>
      <c r="AE66" s="102"/>
      <c r="AF66" s="102"/>
      <c r="AG66" s="102"/>
      <c r="AH66" s="102"/>
      <c r="AI66" s="102"/>
      <c r="AJ66" s="102"/>
      <c r="AK66" s="102"/>
      <c r="AL66" s="102"/>
      <c r="AM66" s="102"/>
      <c r="AN66" s="102"/>
      <c r="AO66" s="102"/>
    </row>
    <row r="67" spans="1:41">
      <c r="A67" s="168">
        <v>8504174</v>
      </c>
      <c r="B67" s="306" t="s">
        <v>35</v>
      </c>
      <c r="C67" s="147" t="str">
        <f>VLOOKUP(RIGHT(A67,4)*1,APN!A:C,3,FALSE)</f>
        <v>Maintained</v>
      </c>
      <c r="D67" s="147" t="str">
        <f>VLOOKUP(A67,Data!$A$3:$I$81,9,FALSE)</f>
        <v>SEC</v>
      </c>
      <c r="E67" s="165">
        <f>VLOOKUP(A67,Data!A:E,5,FALSE)</f>
        <v>6</v>
      </c>
      <c r="F67" s="147" t="str">
        <f>VLOOKUP(A67,Data!$A$3:$J$81,10,FALSE)</f>
        <v>HI</v>
      </c>
      <c r="G67" s="147"/>
      <c r="H67" s="295"/>
      <c r="I67" s="604">
        <f>VLOOKUP(A67,Data!A:E,5,FALSE)*place</f>
        <v>36000</v>
      </c>
      <c r="J67" s="609">
        <f>IFERROR(VLOOKUP(A67,'NOR Special Units'!$B:$AF,31,FALSE)*Values!$D$28,0)</f>
        <v>0</v>
      </c>
      <c r="K67" s="607">
        <f>VLOOKUP(A67,Data!A:E,5,FALSE)*legacy</f>
        <v>3281.8229787420005</v>
      </c>
      <c r="L67" s="428" cm="1">
        <f t="array" ref="L67">INDEX(Values!$D$1:$D$985,MATCH(1,(Values!$B$1:$B$985=F67)*(Values!$C$1:$C$985=D67),0))*VLOOKUP(A67,Data!$A$1:$F$1029,6,FALSE)</f>
        <v>37308</v>
      </c>
      <c r="M67" s="157">
        <f>(VLOOKUP(A67,Data!$A$3:$X$81,18,FALSE)*IF(D67="Pri",TACT_PRI,TACT_SEC))+(VLOOKUP(A67,Data!$A$3:$X$81,19,FALSE)*IF(D67="Pri",SIGN_PRI,SIGN_SEC))+(VLOOKUP(A67,Data!$A$3:$X$81,20,FALSE)*IF(D67="Pri",NA_PRI,NA_SEC))+(VLOOKUP(A67,Data!$A$3:$X$81,21,FALSE)*IF(D67="Pri",asd_pri,asd_sec))+(VLOOKUP(A67,Data!$A$3:$X$81,22,FALSE)*IF(D67="Pri",MLD_PRI,MLD_SEC)+VLOOKUP(A67,Data!$A$3:$X$81,23,FALSE)*IF(D67="Pri",SEMH_PRI,SEMH_SEC))+(VLOOKUP(A67,Data!$A$3:$X$81,24,FALSE)*IF(D67="Pri",SLCN_PRI,SLCN_SEC))</f>
        <v>0</v>
      </c>
      <c r="N67" s="157">
        <f>(VLOOKUP(A67,Data!$A$3:$AD$81,26,FALSE)*IF(D67="Pri",NA_PRI,NA_SEC))+(VLOOKUP(A67,Data!$A$3:$AD$81,27,FALSE)*IF(D67="Pri",asd_pri,asd_sec))+(VLOOKUP(A67,Data!$A$3:$AD$81,28,FALSE)*IF(D67="Pri",MLD_PRI,MLD_SEC)+VLOOKUP(A67,Data!$A$3:$AD$81,29,FALSE)*IF(D67="Pri",SEMH_PRI,SEMH_SEC))+(VLOOKUP(A67,Data!$A$3:$AD$81,30,FALSE)*IF(D67="Pri",SLCN_PRI,SLCN_SEC))</f>
        <v>0</v>
      </c>
      <c r="O67" s="304">
        <f t="shared" si="4"/>
        <v>37308</v>
      </c>
      <c r="P67" s="159">
        <f t="shared" si="31"/>
        <v>6218</v>
      </c>
      <c r="Q67" s="160">
        <f>VLOOKUP($A67,MFG!$A$7:$AC$85,29,FALSE)*VLOOKUP($A67,Data!$A$4:$E$81,5,FALSE)</f>
        <v>0</v>
      </c>
      <c r="R67" s="167">
        <f t="shared" si="5"/>
        <v>37308</v>
      </c>
      <c r="S67" s="162"/>
      <c r="T67" s="255">
        <f>_xlfn.IFNA(VLOOKUP(A67,'2025-26 Budget Share'!$A$5:$W$62,17,FALSE),0)</f>
        <v>35796</v>
      </c>
      <c r="U67" s="305">
        <f t="shared" si="1"/>
        <v>1512</v>
      </c>
      <c r="V67" s="305">
        <f t="shared" si="32"/>
        <v>6218</v>
      </c>
      <c r="W67" s="305">
        <f>_xlfn.IFNA(VLOOKUP(A67,'2025-26 Budget Share'!$A$5:$W$62,21,FALSE),0)</f>
        <v>5966</v>
      </c>
      <c r="X67" s="256">
        <f t="shared" si="6"/>
        <v>252</v>
      </c>
      <c r="Y67" s="446">
        <f>_xlfn.XLOOKUP(A67,Data!$D$87:$D$164,Data!$F$87:$F$164)*'Budget Shares'!E67</f>
        <v>2304.6</v>
      </c>
      <c r="Z67" s="163"/>
      <c r="AA67" s="163">
        <f t="shared" si="33"/>
        <v>0</v>
      </c>
      <c r="AB67" s="163"/>
      <c r="AC67" s="102"/>
      <c r="AD67" s="102"/>
      <c r="AE67" s="102"/>
      <c r="AF67" s="102"/>
      <c r="AG67" s="102"/>
      <c r="AH67" s="102"/>
      <c r="AI67" s="102"/>
      <c r="AJ67" s="102"/>
      <c r="AK67" s="102"/>
      <c r="AL67" s="102"/>
      <c r="AM67" s="102"/>
      <c r="AN67" s="102"/>
      <c r="AO67" s="102"/>
    </row>
    <row r="68" spans="1:41">
      <c r="A68" s="168">
        <v>8504180</v>
      </c>
      <c r="B68" s="306" t="s">
        <v>36</v>
      </c>
      <c r="C68" s="147" t="str">
        <f>VLOOKUP(RIGHT(A68,4)*1,APN!A:C,3,FALSE)</f>
        <v>Maintained</v>
      </c>
      <c r="D68" s="147" t="str">
        <f>VLOOKUP(A68,Data!$A$3:$I$81,9,FALSE)</f>
        <v>SEC</v>
      </c>
      <c r="E68" s="165">
        <f>VLOOKUP(A68,Data!A:E,5,FALSE)</f>
        <v>12</v>
      </c>
      <c r="F68" s="147" t="str">
        <f>VLOOKUP(A68,Data!$A$3:$J$81,10,FALSE)</f>
        <v>SLCN</v>
      </c>
      <c r="G68" s="147"/>
      <c r="H68" s="295"/>
      <c r="I68" s="604">
        <f>VLOOKUP(A68,Data!A:E,5,FALSE)*place</f>
        <v>72000</v>
      </c>
      <c r="J68" s="609">
        <f>IFERROR(VLOOKUP(A68,'NOR Special Units'!$B:$AF,31,FALSE)*Values!$D$28,0)</f>
        <v>8000</v>
      </c>
      <c r="K68" s="607">
        <f>VLOOKUP(A68,Data!A:E,5,FALSE)*legacy</f>
        <v>6563.645957484001</v>
      </c>
      <c r="L68" s="428" cm="1">
        <f t="array" ref="L68">INDEX(Values!$D$1:$D$985,MATCH(1,(Values!$B$1:$B$985=F68)*(Values!$C$1:$C$985=D68),0))*VLOOKUP(A68,Data!$A$1:$F$1029,6,FALSE)</f>
        <v>61788</v>
      </c>
      <c r="M68" s="157">
        <f>(VLOOKUP(A68,Data!$A$3:$X$81,18,FALSE)*IF(D68="Pri",TACT_PRI,TACT_SEC))+(VLOOKUP(A68,Data!$A$3:$X$81,19,FALSE)*IF(D68="Pri",SIGN_PRI,SIGN_SEC))+(VLOOKUP(A68,Data!$A$3:$X$81,20,FALSE)*IF(D68="Pri",NA_PRI,NA_SEC))+(VLOOKUP(A68,Data!$A$3:$X$81,21,FALSE)*IF(D68="Pri",asd_pri,asd_sec))+(VLOOKUP(A68,Data!$A$3:$X$81,22,FALSE)*IF(D68="Pri",MLD_PRI,MLD_SEC)+VLOOKUP(A68,Data!$A$3:$X$81,23,FALSE)*IF(D68="Pri",SEMH_PRI,SEMH_SEC))+(VLOOKUP(A68,Data!$A$3:$X$81,24,FALSE)*IF(D68="Pri",SLCN_PRI,SLCN_SEC))</f>
        <v>0</v>
      </c>
      <c r="N68" s="157">
        <f>(VLOOKUP(A68,Data!$A$3:$AD$81,26,FALSE)*IF(D68="Pri",NA_PRI,NA_SEC))+(VLOOKUP(A68,Data!$A$3:$AD$81,27,FALSE)*IF(D68="Pri",asd_pri,asd_sec))+(VLOOKUP(A68,Data!$A$3:$AD$81,28,FALSE)*IF(D68="Pri",MLD_PRI,MLD_SEC)+VLOOKUP(A68,Data!$A$3:$AD$81,29,FALSE)*IF(D68="Pri",SEMH_PRI,SEMH_SEC))+(VLOOKUP(A68,Data!$A$3:$AD$81,30,FALSE)*IF(D68="Pri",SLCN_PRI,SLCN_SEC))</f>
        <v>0</v>
      </c>
      <c r="O68" s="304">
        <f t="shared" si="4"/>
        <v>61788</v>
      </c>
      <c r="P68" s="159">
        <f t="shared" si="31"/>
        <v>5149</v>
      </c>
      <c r="Q68" s="160">
        <f>VLOOKUP($A68,MFG!$A$7:$AC$85,29,FALSE)*VLOOKUP($A68,Data!$A$4:$E$81,5,FALSE)</f>
        <v>0</v>
      </c>
      <c r="R68" s="167">
        <f t="shared" si="5"/>
        <v>61788</v>
      </c>
      <c r="S68" s="162"/>
      <c r="T68" s="255">
        <f>_xlfn.IFNA(VLOOKUP(A68,'2025-26 Budget Share'!$A$5:$W$62,17,FALSE),0)</f>
        <v>59028</v>
      </c>
      <c r="U68" s="305">
        <f t="shared" si="1"/>
        <v>2760</v>
      </c>
      <c r="V68" s="305">
        <f t="shared" si="32"/>
        <v>5149</v>
      </c>
      <c r="W68" s="305">
        <f>_xlfn.IFNA(VLOOKUP(A68,'2025-26 Budget Share'!$A$5:$W$62,21,FALSE),0)</f>
        <v>4919</v>
      </c>
      <c r="X68" s="256">
        <f t="shared" si="6"/>
        <v>230</v>
      </c>
      <c r="Y68" s="446">
        <f>_xlfn.XLOOKUP(A68,Data!$D$87:$D$164,Data!$F$87:$F$164)*'Budget Shares'!E68</f>
        <v>4205.76</v>
      </c>
      <c r="Z68" s="163"/>
      <c r="AA68" s="163">
        <f t="shared" si="33"/>
        <v>0</v>
      </c>
      <c r="AB68" s="163"/>
      <c r="AC68" s="102"/>
      <c r="AD68" s="102"/>
      <c r="AE68" s="102"/>
      <c r="AF68" s="102"/>
      <c r="AG68" s="102"/>
      <c r="AH68" s="102"/>
      <c r="AI68" s="102"/>
      <c r="AJ68" s="102"/>
      <c r="AK68" s="102"/>
      <c r="AL68" s="102"/>
      <c r="AM68" s="102"/>
      <c r="AN68" s="102"/>
      <c r="AO68" s="102"/>
    </row>
    <row r="69" spans="1:41">
      <c r="A69" s="168">
        <v>8504164</v>
      </c>
      <c r="B69" s="306" t="s">
        <v>37</v>
      </c>
      <c r="C69" s="147" t="str">
        <f>VLOOKUP(RIGHT(A69,4)*1,APN!A:C,3,FALSE)</f>
        <v>Maintained</v>
      </c>
      <c r="D69" s="147" t="str">
        <f>VLOOKUP(A69,Data!$A$3:$I$81,9,FALSE)</f>
        <v>SEC</v>
      </c>
      <c r="E69" s="165">
        <f>VLOOKUP(A69,Data!A:E,5,FALSE)</f>
        <v>12</v>
      </c>
      <c r="F69" s="147" t="str">
        <f>VLOOKUP(A69,Data!$A$3:$J$81,10,FALSE)</f>
        <v>SpLD</v>
      </c>
      <c r="G69" s="147"/>
      <c r="H69" s="295"/>
      <c r="I69" s="604">
        <f>VLOOKUP(A69,Data!A:E,5,FALSE)*place</f>
        <v>72000</v>
      </c>
      <c r="J69" s="609">
        <f>IFERROR(VLOOKUP(A69,'NOR Special Units'!$B:$AF,31,FALSE)*Values!$D$28,0)</f>
        <v>0</v>
      </c>
      <c r="K69" s="607">
        <f>VLOOKUP(A69,Data!A:E,5,FALSE)*legacy</f>
        <v>6563.645957484001</v>
      </c>
      <c r="L69" s="428" cm="1">
        <f t="array" ref="L69">INDEX(Values!$D$1:$D$985,MATCH(1,(Values!$B$1:$B$985=F69)*(Values!$C$1:$C$985=D69),0))*VLOOKUP(A69,Data!$A$1:$F$1029,6,FALSE)</f>
        <v>15732</v>
      </c>
      <c r="M69" s="157">
        <f>(VLOOKUP(A69,Data!$A$3:$X$81,18,FALSE)*IF(D69="Pri",TACT_PRI,TACT_SEC))+(VLOOKUP(A69,Data!$A$3:$X$81,19,FALSE)*IF(D69="Pri",SIGN_PRI,SIGN_SEC))+(VLOOKUP(A69,Data!$A$3:$X$81,20,FALSE)*IF(D69="Pri",NA_PRI,NA_SEC))+(VLOOKUP(A69,Data!$A$3:$X$81,21,FALSE)*IF(D69="Pri",asd_pri,asd_sec))+(VLOOKUP(A69,Data!$A$3:$X$81,22,FALSE)*IF(D69="Pri",MLD_PRI,MLD_SEC)+VLOOKUP(A69,Data!$A$3:$X$81,23,FALSE)*IF(D69="Pri",SEMH_PRI,SEMH_SEC))+(VLOOKUP(A69,Data!$A$3:$X$81,24,FALSE)*IF(D69="Pri",SLCN_PRI,SLCN_SEC))</f>
        <v>0</v>
      </c>
      <c r="N69" s="157">
        <f>(VLOOKUP(A69,Data!$A$3:$AD$81,26,FALSE)*IF(D69="Pri",NA_PRI,NA_SEC))+(VLOOKUP(A69,Data!$A$3:$AD$81,27,FALSE)*IF(D69="Pri",asd_pri,asd_sec))+(VLOOKUP(A69,Data!$A$3:$AD$81,28,FALSE)*IF(D69="Pri",MLD_PRI,MLD_SEC)+VLOOKUP(A69,Data!$A$3:$AD$81,29,FALSE)*IF(D69="Pri",SEMH_PRI,SEMH_SEC))+(VLOOKUP(A69,Data!$A$3:$AD$81,30,FALSE)*IF(D69="Pri",SLCN_PRI,SLCN_SEC))</f>
        <v>0</v>
      </c>
      <c r="O69" s="304">
        <f t="shared" si="4"/>
        <v>15732</v>
      </c>
      <c r="P69" s="159">
        <f t="shared" ref="P69:P82" si="48">IF(I69=0,0,O69/E69)</f>
        <v>1311</v>
      </c>
      <c r="Q69" s="160">
        <f>VLOOKUP($A69,MFG!$A$7:$AC$85,29,FALSE)*VLOOKUP($A69,Data!$A$4:$E$81,5,FALSE)</f>
        <v>0</v>
      </c>
      <c r="R69" s="167">
        <f t="shared" si="5"/>
        <v>15732</v>
      </c>
      <c r="S69" s="162"/>
      <c r="T69" s="255">
        <f>_xlfn.IFNA(VLOOKUP(A69,'2025-26 Budget Share'!$A$5:$W$62,17,FALSE),0)</f>
        <v>13920</v>
      </c>
      <c r="U69" s="305">
        <f t="shared" si="1"/>
        <v>1812</v>
      </c>
      <c r="V69" s="305">
        <f t="shared" ref="V69:V82" si="49">IF(I69=0,0,R69/E69)</f>
        <v>1311</v>
      </c>
      <c r="W69" s="305">
        <f>_xlfn.IFNA(VLOOKUP(A69,'2025-26 Budget Share'!$A$5:$W$62,21,FALSE),0)</f>
        <v>1160</v>
      </c>
      <c r="X69" s="256">
        <f t="shared" si="6"/>
        <v>151</v>
      </c>
      <c r="Y69" s="446">
        <f>_xlfn.XLOOKUP(A69,Data!$D$87:$D$164,Data!$F$87:$F$164)*'Budget Shares'!E69</f>
        <v>2757.72</v>
      </c>
      <c r="Z69" s="163"/>
      <c r="AA69" s="163">
        <f t="shared" ref="AA69:AA82" si="50">IFERROR(ROUND(Q69/(I69/6000),0),0)</f>
        <v>0</v>
      </c>
      <c r="AB69" s="163"/>
      <c r="AC69" s="102"/>
      <c r="AD69" s="102"/>
      <c r="AE69" s="102"/>
      <c r="AF69" s="102"/>
      <c r="AG69" s="102"/>
      <c r="AH69" s="102"/>
      <c r="AI69" s="102"/>
      <c r="AJ69" s="102"/>
      <c r="AK69" s="102"/>
      <c r="AL69" s="102"/>
      <c r="AM69" s="102"/>
      <c r="AN69" s="102"/>
      <c r="AO69" s="102"/>
    </row>
    <row r="70" spans="1:41">
      <c r="A70" s="168">
        <v>8504191</v>
      </c>
      <c r="B70" s="306" t="s">
        <v>177</v>
      </c>
      <c r="C70" s="147" t="str">
        <f>VLOOKUP(RIGHT(A70,4)*1,APN!A:C,3,FALSE)</f>
        <v>Maintained</v>
      </c>
      <c r="D70" s="147" t="str">
        <f>VLOOKUP(A70,Data!$A$3:$I$81,9,FALSE)</f>
        <v>SEC</v>
      </c>
      <c r="E70" s="165">
        <f>VLOOKUP(A70,Data!A:E,5,FALSE)</f>
        <v>22</v>
      </c>
      <c r="F70" s="147" t="str">
        <f>VLOOKUP(A70,Data!$A$3:$J$81,10,FALSE)</f>
        <v>SpLD</v>
      </c>
      <c r="G70" s="147" t="s">
        <v>130</v>
      </c>
      <c r="H70" s="295"/>
      <c r="I70" s="604">
        <f>VLOOKUP(A70,Data!A:E,5,FALSE)*place</f>
        <v>132000</v>
      </c>
      <c r="J70" s="609">
        <f>IFERROR(VLOOKUP(A70,'NOR Special Units'!$B:$AF,31,FALSE)*Values!$D$28,0)</f>
        <v>4000</v>
      </c>
      <c r="K70" s="607">
        <f>VLOOKUP(A70,Data!A:E,5,FALSE)*legacy</f>
        <v>12033.350922054002</v>
      </c>
      <c r="L70" s="428" cm="1">
        <f t="array" ref="L70">INDEX(Values!$D$1:$D$985,MATCH(1,(Values!$B$1:$B$985=F70)*(Values!$C$1:$C$985=D70),0))*VLOOKUP(A70,Data!$A$1:$F$1029,6,FALSE)</f>
        <v>10488</v>
      </c>
      <c r="M70" s="157">
        <f>(VLOOKUP(A70,Data!$A$3:$X$81,18,FALSE)*IF(D70="Pri",TACT_PRI,TACT_SEC))+(VLOOKUP(A70,Data!$A$3:$X$81,19,FALSE)*IF(D70="Pri",SIGN_PRI,SIGN_SEC))+(VLOOKUP(A70,Data!$A$3:$X$81,20,FALSE)*IF(D70="Pri",NA_PRI,NA_SEC))+(VLOOKUP(A70,Data!$A$3:$X$81,21,FALSE)*IF(D70="Pri",asd_pri,asd_sec))+(VLOOKUP(A70,Data!$A$3:$X$81,22,FALSE)*IF(D70="Pri",MLD_PRI,MLD_SEC)+VLOOKUP(A70,Data!$A$3:$X$81,23,FALSE)*IF(D70="Pri",SEMH_PRI,SEMH_SEC))+(VLOOKUP(A70,Data!$A$3:$X$81,24,FALSE)*IF(D70="Pri",SLCN_PRI,SLCN_SEC))</f>
        <v>162148</v>
      </c>
      <c r="N70" s="157">
        <f>(VLOOKUP(A70,Data!$A$3:$AD$81,26,FALSE)*IF(D70="Pri",NA_PRI,NA_SEC))+(VLOOKUP(A70,Data!$A$3:$AD$81,27,FALSE)*IF(D70="Pri",asd_pri,asd_sec))+(VLOOKUP(A70,Data!$A$3:$AD$81,28,FALSE)*IF(D70="Pri",MLD_PRI,MLD_SEC)+VLOOKUP(A70,Data!$A$3:$AD$81,29,FALSE)*IF(D70="Pri",SEMH_PRI,SEMH_SEC))+(VLOOKUP(A70,Data!$A$3:$AD$81,30,FALSE)*IF(D70="Pri",SLCN_PRI,SLCN_SEC))</f>
        <v>0</v>
      </c>
      <c r="O70" s="304">
        <f t="shared" si="4"/>
        <v>172636</v>
      </c>
      <c r="P70" s="159">
        <f t="shared" si="48"/>
        <v>7847.090909090909</v>
      </c>
      <c r="Q70" s="160">
        <f>VLOOKUP($A70,MFG!$A$7:$AC$85,29,FALSE)*VLOOKUP($A70,Data!$A$4:$E$81,5,FALSE)</f>
        <v>0</v>
      </c>
      <c r="R70" s="167">
        <f t="shared" si="5"/>
        <v>172636</v>
      </c>
      <c r="S70" s="162"/>
      <c r="T70" s="255">
        <f>_xlfn.IFNA(VLOOKUP(A70,'2025-26 Budget Share'!$A$5:$W$62,17,FALSE),0)</f>
        <v>169743.33333333331</v>
      </c>
      <c r="U70" s="305">
        <f t="shared" si="1"/>
        <v>2892.6666666666861</v>
      </c>
      <c r="V70" s="305">
        <f t="shared" si="49"/>
        <v>7847.090909090909</v>
      </c>
      <c r="W70" s="305">
        <f>_xlfn.IFNA(VLOOKUP(A70,'2025-26 Budget Share'!$A$5:$W$62,21,FALSE),0)</f>
        <v>6812.4414715719058</v>
      </c>
      <c r="X70" s="256">
        <f t="shared" si="6"/>
        <v>1034.6494375190032</v>
      </c>
      <c r="Y70" s="446">
        <f>_xlfn.XLOOKUP(A70,Data!$D$87:$D$164,Data!$F$87:$F$164)*'Budget Shares'!E70</f>
        <v>6459.42</v>
      </c>
      <c r="Z70" s="163"/>
      <c r="AA70" s="163">
        <f t="shared" si="50"/>
        <v>0</v>
      </c>
      <c r="AB70" s="163"/>
      <c r="AC70" s="102" t="s">
        <v>147</v>
      </c>
      <c r="AD70" s="102">
        <f>SUMIFS(APN!L:L,APN!A:A,RIGHT(A70,4)*1,APN!H:H,"SEMH")</f>
        <v>14</v>
      </c>
      <c r="AE70" s="151">
        <f>AD70*6000</f>
        <v>84000</v>
      </c>
      <c r="AF70" s="151">
        <f>AD70*4000</f>
        <v>56000</v>
      </c>
      <c r="AG70" s="151">
        <f>IF(D70="PRI",SEMH_PRI,IF(D70="SEC",SEMH_SEC,0))*AD70</f>
        <v>162148</v>
      </c>
      <c r="AH70" s="151">
        <f>_xlfn.XLOOKUP(A70,MFG!A:A,MFG!AC:AC)*AD70</f>
        <v>0</v>
      </c>
      <c r="AI70" s="151" t="e">
        <f>_xlfn.XLOOKUP(A70,Data!A:A,Data!#REF!)/_xlfn.XLOOKUP(A70,Data!A:A,Data!E:E)*AD70</f>
        <v>#REF!</v>
      </c>
      <c r="AJ70" s="151"/>
      <c r="AK70" s="151"/>
      <c r="AL70" s="151" t="e">
        <f>SUM(AE70:AK70)</f>
        <v>#REF!</v>
      </c>
      <c r="AM70" s="151" t="e">
        <f>AL70/AD70</f>
        <v>#REF!</v>
      </c>
      <c r="AN70" s="151">
        <v>564604.71</v>
      </c>
      <c r="AO70" s="151">
        <v>1197588.2</v>
      </c>
    </row>
    <row r="71" spans="1:41">
      <c r="A71" s="168">
        <v>8504203</v>
      </c>
      <c r="B71" s="306" t="s">
        <v>39</v>
      </c>
      <c r="C71" s="147" t="str">
        <f>VLOOKUP(RIGHT(A71,4)*1,APN!A:C,3,FALSE)</f>
        <v>Maintained</v>
      </c>
      <c r="D71" s="147" t="str">
        <f>VLOOKUP(A71,Data!$A$3:$I$81,9,FALSE)</f>
        <v>SEC</v>
      </c>
      <c r="E71" s="165">
        <f>VLOOKUP(A71,Data!A:E,5,FALSE)</f>
        <v>5</v>
      </c>
      <c r="F71" s="147" t="str">
        <f>VLOOKUP(A71,Data!$A$3:$J$81,10,FALSE)</f>
        <v>HI</v>
      </c>
      <c r="G71" s="147"/>
      <c r="H71" s="295"/>
      <c r="I71" s="604">
        <f>VLOOKUP(A71,Data!A:E,5,FALSE)*place</f>
        <v>30000</v>
      </c>
      <c r="J71" s="609">
        <f>IFERROR(VLOOKUP(A71,'NOR Special Units'!$B:$AF,31,FALSE)*Values!$D$28,0)</f>
        <v>4000</v>
      </c>
      <c r="K71" s="607">
        <f>VLOOKUP(A71,Data!A:E,5,FALSE)*legacy</f>
        <v>2734.8524822850004</v>
      </c>
      <c r="L71" s="428" cm="1">
        <f t="array" ref="L71">INDEX(Values!$D$1:$D$985,MATCH(1,(Values!$B$1:$B$985=F71)*(Values!$C$1:$C$985=D71),0))*VLOOKUP(A71,Data!$A$1:$F$1029,6,FALSE)</f>
        <v>31090</v>
      </c>
      <c r="M71" s="157">
        <f>(VLOOKUP(A71,Data!$A$3:$X$81,18,FALSE)*IF(D71="Pri",TACT_PRI,TACT_SEC))+(VLOOKUP(A71,Data!$A$3:$X$81,19,FALSE)*IF(D71="Pri",SIGN_PRI,SIGN_SEC))+(VLOOKUP(A71,Data!$A$3:$X$81,20,FALSE)*IF(D71="Pri",NA_PRI,NA_SEC))+(VLOOKUP(A71,Data!$A$3:$X$81,21,FALSE)*IF(D71="Pri",asd_pri,asd_sec))+(VLOOKUP(A71,Data!$A$3:$X$81,22,FALSE)*IF(D71="Pri",MLD_PRI,MLD_SEC)+VLOOKUP(A71,Data!$A$3:$X$81,23,FALSE)*IF(D71="Pri",SEMH_PRI,SEMH_SEC))+(VLOOKUP(A71,Data!$A$3:$X$81,24,FALSE)*IF(D71="Pri",SLCN_PRI,SLCN_SEC))</f>
        <v>26588.07</v>
      </c>
      <c r="N71" s="157">
        <f>(VLOOKUP(A71,Data!$A$3:$AD$81,26,FALSE)*IF(D71="Pri",NA_PRI,NA_SEC))+(VLOOKUP(A71,Data!$A$3:$AD$81,27,FALSE)*IF(D71="Pri",asd_pri,asd_sec))+(VLOOKUP(A71,Data!$A$3:$AD$81,28,FALSE)*IF(D71="Pri",MLD_PRI,MLD_SEC)+VLOOKUP(A71,Data!$A$3:$AD$81,29,FALSE)*IF(D71="Pri",SEMH_PRI,SEMH_SEC))+(VLOOKUP(A71,Data!$A$3:$AD$81,30,FALSE)*IF(D71="Pri",SLCN_PRI,SLCN_SEC))</f>
        <v>0</v>
      </c>
      <c r="O71" s="304">
        <f t="shared" si="4"/>
        <v>57678.07</v>
      </c>
      <c r="P71" s="159">
        <f t="shared" si="48"/>
        <v>11535.614</v>
      </c>
      <c r="Q71" s="160">
        <f>VLOOKUP($A71,MFG!$A$7:$AC$85,29,FALSE)*VLOOKUP($A71,Data!$A$4:$E$81,5,FALSE)</f>
        <v>0</v>
      </c>
      <c r="R71" s="167">
        <f t="shared" si="5"/>
        <v>57678.07</v>
      </c>
      <c r="S71" s="162"/>
      <c r="T71" s="255">
        <f>_xlfn.IFNA(VLOOKUP(A71,'2025-26 Budget Share'!$A$5:$W$62,17,FALSE),0)</f>
        <v>55870.31</v>
      </c>
      <c r="U71" s="305">
        <f t="shared" si="1"/>
        <v>1807.760000000002</v>
      </c>
      <c r="V71" s="305">
        <f t="shared" si="49"/>
        <v>11535.614</v>
      </c>
      <c r="W71" s="305">
        <f>_xlfn.IFNA(VLOOKUP(A71,'2025-26 Budget Share'!$A$5:$W$62,21,FALSE),0)</f>
        <v>11174.062</v>
      </c>
      <c r="X71" s="256">
        <f t="shared" si="6"/>
        <v>361.55199999999968</v>
      </c>
      <c r="Y71" s="446">
        <f>_xlfn.XLOOKUP(A71,Data!$D$87:$D$164,Data!$F$87:$F$164)*'Budget Shares'!E71</f>
        <v>1920.5</v>
      </c>
      <c r="Z71" s="163"/>
      <c r="AA71" s="163">
        <f t="shared" si="50"/>
        <v>0</v>
      </c>
      <c r="AB71" s="163"/>
      <c r="AC71" s="102"/>
      <c r="AD71" s="102"/>
      <c r="AE71" s="102"/>
      <c r="AF71" s="102"/>
      <c r="AG71" s="102"/>
      <c r="AH71" s="102"/>
      <c r="AI71" s="102"/>
      <c r="AJ71" s="102"/>
      <c r="AK71" s="102"/>
      <c r="AL71" s="102"/>
      <c r="AM71" s="102"/>
      <c r="AN71" s="102"/>
      <c r="AO71" s="102"/>
    </row>
    <row r="72" spans="1:41">
      <c r="A72" s="168">
        <v>8504206</v>
      </c>
      <c r="B72" s="306" t="s">
        <v>40</v>
      </c>
      <c r="C72" s="147" t="str">
        <f>VLOOKUP(RIGHT(A72,4)*1,APN!A:C,3,FALSE)</f>
        <v>Maintained</v>
      </c>
      <c r="D72" s="147" t="str">
        <f>VLOOKUP(A72,Data!$A$3:$I$81,9,FALSE)</f>
        <v>SEC</v>
      </c>
      <c r="E72" s="165">
        <f>VLOOKUP(A72,Data!A:E,5,FALSE)</f>
        <v>18.333333333333336</v>
      </c>
      <c r="F72" s="147" t="str">
        <f>VLOOKUP(A72,Data!$A$3:$J$81,10,FALSE)</f>
        <v>SpLD</v>
      </c>
      <c r="G72" s="548" t="s">
        <v>130</v>
      </c>
      <c r="H72" s="295"/>
      <c r="I72" s="604">
        <f>VLOOKUP(A72,Data!A:E,5,FALSE)*place</f>
        <v>110000.00000000001</v>
      </c>
      <c r="J72" s="609">
        <f>IFERROR(VLOOKUP(A72,'NOR Special Units'!$B:$AF,31,FALSE)*Values!$D$28,0)</f>
        <v>21333.333333333328</v>
      </c>
      <c r="K72" s="607">
        <f>VLOOKUP(A72,Data!A:E,5,FALSE)*legacy</f>
        <v>10027.792435045003</v>
      </c>
      <c r="L72" s="428" cm="1">
        <f t="array" ref="L72">INDEX(Values!$D$1:$D$985,MATCH(1,(Values!$B$1:$B$985=F72)*(Values!$C$1:$C$985=D72),0))*VLOOKUP(A72,Data!$A$1:$F$1029,6,FALSE)</f>
        <v>16387.5</v>
      </c>
      <c r="M72" s="157">
        <f>(VLOOKUP(A72,Data!$A$3:$X$81,18,FALSE)*IF(D72="Pri",TACT_PRI,TACT_SEC))+(VLOOKUP(A72,Data!$A$3:$X$81,19,FALSE)*IF(D72="Pri",SIGN_PRI,SIGN_SEC))+(VLOOKUP(A72,Data!$A$3:$X$81,20,FALSE)*IF(D72="Pri",NA_PRI,NA_SEC))+(VLOOKUP(A72,Data!$A$3:$X$81,21,FALSE)*IF(D72="Pri",asd_pri,asd_sec))+(VLOOKUP(A72,Data!$A$3:$X$81,22,FALSE)*IF(D72="Pri",MLD_PRI,MLD_SEC)+VLOOKUP(A72,Data!$A$3:$X$81,23,FALSE)*IF(D72="Pri",SEMH_PRI,SEMH_SEC))+(VLOOKUP(A72,Data!$A$3:$X$81,24,FALSE)*IF(D72="Pri",SLCN_PRI,SLCN_SEC))</f>
        <v>67561.666666666701</v>
      </c>
      <c r="N72" s="157">
        <f>(VLOOKUP(A72,Data!$A$3:$AD$81,26,FALSE)*IF(D72="Pri",NA_PRI,NA_SEC))+(VLOOKUP(A72,Data!$A$3:$AD$81,27,FALSE)*IF(D72="Pri",asd_pri,asd_sec))+(VLOOKUP(A72,Data!$A$3:$AD$81,28,FALSE)*IF(D72="Pri",MLD_PRI,MLD_SEC)+VLOOKUP(A72,Data!$A$3:$AD$81,29,FALSE)*IF(D72="Pri",SEMH_PRI,SEMH_SEC))+(VLOOKUP(A72,Data!$A$3:$AD$81,30,FALSE)*IF(D72="Pri",SLCN_PRI,SLCN_SEC))</f>
        <v>0</v>
      </c>
      <c r="O72" s="304">
        <f t="shared" si="4"/>
        <v>83949.166666666701</v>
      </c>
      <c r="P72" s="159">
        <f t="shared" si="48"/>
        <v>4579.0454545454559</v>
      </c>
      <c r="Q72" s="160">
        <f>VLOOKUP($A72,MFG!$A$7:$AC$85,29,FALSE)*VLOOKUP($A72,Data!$A$4:$E$81,5,FALSE)</f>
        <v>0</v>
      </c>
      <c r="R72" s="167">
        <f t="shared" si="5"/>
        <v>83949.166666666701</v>
      </c>
      <c r="S72" s="162"/>
      <c r="T72" s="255">
        <f>_xlfn.IFNA(VLOOKUP(A72,'2025-26 Budget Share'!$A$5:$W$62,17,FALSE),0)</f>
        <v>20493.333333333336</v>
      </c>
      <c r="U72" s="305">
        <f t="shared" si="1"/>
        <v>63455.833333333365</v>
      </c>
      <c r="V72" s="305">
        <f t="shared" si="49"/>
        <v>4579.0454545454559</v>
      </c>
      <c r="W72" s="305">
        <f>_xlfn.IFNA(VLOOKUP(A72,'2025-26 Budget Share'!$A$5:$W$62,21,FALSE),0)</f>
        <v>1160.0000000000002</v>
      </c>
      <c r="X72" s="256">
        <f t="shared" si="6"/>
        <v>3419.0454545454559</v>
      </c>
      <c r="Y72" s="446">
        <f>_xlfn.XLOOKUP(A72,Data!$D$87:$D$164,Data!$F$87:$F$164)*'Budget Shares'!E72</f>
        <v>4864.4800000000005</v>
      </c>
      <c r="Z72" s="163"/>
      <c r="AA72" s="163">
        <f t="shared" si="50"/>
        <v>0</v>
      </c>
      <c r="AB72" s="163"/>
      <c r="AC72" s="102"/>
      <c r="AD72" s="102"/>
      <c r="AE72" s="102"/>
      <c r="AF72" s="102"/>
      <c r="AG72" s="102"/>
      <c r="AH72" s="102"/>
      <c r="AI72" s="102"/>
      <c r="AJ72" s="102"/>
      <c r="AK72" s="102"/>
      <c r="AL72" s="102"/>
      <c r="AM72" s="102"/>
      <c r="AN72" s="102"/>
      <c r="AO72" s="102"/>
    </row>
    <row r="73" spans="1:41">
      <c r="A73" s="168">
        <v>8504308</v>
      </c>
      <c r="B73" s="306" t="s">
        <v>41</v>
      </c>
      <c r="C73" s="147" t="str">
        <f>VLOOKUP(RIGHT(A73,4)*1,APN!A:C,3,FALSE)</f>
        <v>Academy</v>
      </c>
      <c r="D73" s="147" t="str">
        <f>VLOOKUP(A73,Data!$A$3:$I$81,9,FALSE)</f>
        <v>SEC</v>
      </c>
      <c r="E73" s="165">
        <f>VLOOKUP(A73,Data!A:E,5,FALSE)</f>
        <v>6</v>
      </c>
      <c r="F73" s="147" t="str">
        <f>VLOOKUP(A73,Data!$A$3:$J$81,10,FALSE)</f>
        <v>HI</v>
      </c>
      <c r="G73" s="147"/>
      <c r="H73" s="295"/>
      <c r="I73" s="604">
        <f>VLOOKUP(A73,Data!A:E,5,FALSE)*place</f>
        <v>36000</v>
      </c>
      <c r="J73" s="609">
        <f>IFERROR(VLOOKUP(A73,'NOR Special Units'!$B:$AF,31,FALSE)*Values!$D$28,0)</f>
        <v>16000</v>
      </c>
      <c r="K73" s="607">
        <f>VLOOKUP(A73,Data!A:E,5,FALSE)*legacy</f>
        <v>3281.8229787420005</v>
      </c>
      <c r="L73" s="428" cm="1">
        <f t="array" ref="L73">INDEX(Values!$D$1:$D$985,MATCH(1,(Values!$B$1:$B$985=F73)*(Values!$C$1:$C$985=D73),0))*VLOOKUP(A73,Data!$A$1:$F$1029,6,FALSE)</f>
        <v>37308</v>
      </c>
      <c r="M73" s="157">
        <f>(VLOOKUP(A73,Data!$A$3:$X$81,18,FALSE)*IF(D73="Pri",TACT_PRI,TACT_SEC))+(VLOOKUP(A73,Data!$A$3:$X$81,19,FALSE)*IF(D73="Pri",SIGN_PRI,SIGN_SEC))+(VLOOKUP(A73,Data!$A$3:$X$81,20,FALSE)*IF(D73="Pri",NA_PRI,NA_SEC))+(VLOOKUP(A73,Data!$A$3:$X$81,21,FALSE)*IF(D73="Pri",asd_pri,asd_sec))+(VLOOKUP(A73,Data!$A$3:$X$81,22,FALSE)*IF(D73="Pri",MLD_PRI,MLD_SEC)+VLOOKUP(A73,Data!$A$3:$X$81,23,FALSE)*IF(D73="Pri",SEMH_PRI,SEMH_SEC))+(VLOOKUP(A73,Data!$A$3:$X$81,24,FALSE)*IF(D73="Pri",SLCN_PRI,SLCN_SEC))</f>
        <v>0</v>
      </c>
      <c r="N73" s="157">
        <f>(VLOOKUP(A73,Data!$A$3:$AD$81,26,FALSE)*IF(D73="Pri",NA_PRI,NA_SEC))+(VLOOKUP(A73,Data!$A$3:$AD$81,27,FALSE)*IF(D73="Pri",asd_pri,asd_sec))+(VLOOKUP(A73,Data!$A$3:$AD$81,28,FALSE)*IF(D73="Pri",MLD_PRI,MLD_SEC)+VLOOKUP(A73,Data!$A$3:$AD$81,29,FALSE)*IF(D73="Pri",SEMH_PRI,SEMH_SEC))+(VLOOKUP(A73,Data!$A$3:$AD$81,30,FALSE)*IF(D73="Pri",SLCN_PRI,SLCN_SEC))</f>
        <v>0</v>
      </c>
      <c r="O73" s="304">
        <f t="shared" si="4"/>
        <v>37308</v>
      </c>
      <c r="P73" s="159">
        <f t="shared" si="48"/>
        <v>6218</v>
      </c>
      <c r="Q73" s="160">
        <f>VLOOKUP($A73,MFG!$A$7:$AC$85,29,FALSE)*VLOOKUP($A73,Data!$A$4:$E$81,5,FALSE)</f>
        <v>13554</v>
      </c>
      <c r="R73" s="167">
        <f t="shared" si="5"/>
        <v>50862</v>
      </c>
      <c r="S73" s="162"/>
      <c r="T73" s="255">
        <f>_xlfn.IFNA(VLOOKUP(A73,'2025-26 Budget Share'!$A$5:$W$62,17,FALSE),0)</f>
        <v>50862</v>
      </c>
      <c r="U73" s="305">
        <f t="shared" si="1"/>
        <v>0</v>
      </c>
      <c r="V73" s="305">
        <f t="shared" si="49"/>
        <v>8477</v>
      </c>
      <c r="W73" s="305">
        <f>_xlfn.IFNA(VLOOKUP(A73,'2025-26 Budget Share'!$A$5:$W$62,21,FALSE),0)</f>
        <v>8477</v>
      </c>
      <c r="X73" s="256">
        <f t="shared" si="6"/>
        <v>0</v>
      </c>
      <c r="Y73" s="446">
        <f>_xlfn.XLOOKUP(A73,Data!$D$87:$D$164,Data!$F$87:$F$164)*'Budget Shares'!E73</f>
        <v>3806.16</v>
      </c>
      <c r="Z73" s="163"/>
      <c r="AA73" s="163">
        <f t="shared" si="50"/>
        <v>2259</v>
      </c>
      <c r="AB73" s="163"/>
      <c r="AC73" s="102"/>
      <c r="AD73" s="102"/>
      <c r="AE73" s="102"/>
      <c r="AF73" s="102"/>
      <c r="AG73" s="102"/>
      <c r="AH73" s="102"/>
      <c r="AI73" s="102"/>
      <c r="AJ73" s="102"/>
      <c r="AK73" s="102"/>
      <c r="AL73" s="102"/>
      <c r="AM73" s="102"/>
      <c r="AN73" s="102"/>
      <c r="AO73" s="102"/>
    </row>
    <row r="74" spans="1:41">
      <c r="A74" s="168">
        <v>8504310</v>
      </c>
      <c r="B74" s="306" t="s">
        <v>42</v>
      </c>
      <c r="C74" s="147" t="str">
        <f>VLOOKUP(RIGHT(A74,4)*1,APN!A:C,3,FALSE)</f>
        <v>Maintained</v>
      </c>
      <c r="D74" s="147" t="str">
        <f>VLOOKUP(A74,Data!$A$3:$I$81,9,FALSE)</f>
        <v>SEC</v>
      </c>
      <c r="E74" s="165">
        <f>VLOOKUP(A74,Data!A:E,5,FALSE)</f>
        <v>6</v>
      </c>
      <c r="F74" s="147" t="str">
        <f>VLOOKUP(A74,Data!$A$3:$J$81,10,FALSE)</f>
        <v>PD - S</v>
      </c>
      <c r="G74" s="147"/>
      <c r="H74" s="295"/>
      <c r="I74" s="604">
        <f>VLOOKUP(A74,Data!A:E,5,FALSE)*place</f>
        <v>36000</v>
      </c>
      <c r="J74" s="609">
        <f>IFERROR(VLOOKUP(A74,'NOR Special Units'!$B:$AF,31,FALSE)*Values!$D$28,0)</f>
        <v>0</v>
      </c>
      <c r="K74" s="607">
        <f>VLOOKUP(A74,Data!A:E,5,FALSE)*legacy</f>
        <v>3281.8229787420005</v>
      </c>
      <c r="L74" s="428" cm="1">
        <f t="array" ref="L74">INDEX(Values!$D$1:$D$985,MATCH(1,(Values!$B$1:$B$985=F74)*(Values!$C$1:$C$985=D74),0))*VLOOKUP(A74,Data!$A$1:$F$1029,6,FALSE)</f>
        <v>88248</v>
      </c>
      <c r="M74" s="157">
        <f>(VLOOKUP(A74,Data!$A$3:$X$81,18,FALSE)*IF(D74="Pri",TACT_PRI,TACT_SEC))+(VLOOKUP(A74,Data!$A$3:$X$81,19,FALSE)*IF(D74="Pri",SIGN_PRI,SIGN_SEC))+(VLOOKUP(A74,Data!$A$3:$X$81,20,FALSE)*IF(D74="Pri",NA_PRI,NA_SEC))+(VLOOKUP(A74,Data!$A$3:$X$81,21,FALSE)*IF(D74="Pri",asd_pri,asd_sec))+(VLOOKUP(A74,Data!$A$3:$X$81,22,FALSE)*IF(D74="Pri",MLD_PRI,MLD_SEC)+VLOOKUP(A74,Data!$A$3:$X$81,23,FALSE)*IF(D74="Pri",SEMH_PRI,SEMH_SEC))+(VLOOKUP(A74,Data!$A$3:$X$81,24,FALSE)*IF(D74="Pri",SLCN_PRI,SLCN_SEC))</f>
        <v>0</v>
      </c>
      <c r="N74" s="157">
        <f>(VLOOKUP(A74,Data!$A$3:$AD$81,26,FALSE)*IF(D74="Pri",NA_PRI,NA_SEC))+(VLOOKUP(A74,Data!$A$3:$AD$81,27,FALSE)*IF(D74="Pri",asd_pri,asd_sec))+(VLOOKUP(A74,Data!$A$3:$AD$81,28,FALSE)*IF(D74="Pri",MLD_PRI,MLD_SEC)+VLOOKUP(A74,Data!$A$3:$AD$81,29,FALSE)*IF(D74="Pri",SEMH_PRI,SEMH_SEC))+(VLOOKUP(A74,Data!$A$3:$AD$81,30,FALSE)*IF(D74="Pri",SLCN_PRI,SLCN_SEC))</f>
        <v>0</v>
      </c>
      <c r="O74" s="304">
        <f t="shared" si="4"/>
        <v>88248</v>
      </c>
      <c r="P74" s="159">
        <f t="shared" si="48"/>
        <v>14708</v>
      </c>
      <c r="Q74" s="160">
        <f>VLOOKUP($A74,MFG!$A$7:$AC$85,29,FALSE)*VLOOKUP($A74,Data!$A$4:$E$81,5,FALSE)</f>
        <v>0</v>
      </c>
      <c r="R74" s="167">
        <f t="shared" si="5"/>
        <v>88248</v>
      </c>
      <c r="S74" s="162"/>
      <c r="T74" s="255">
        <f>_xlfn.IFNA(VLOOKUP(A74,'2025-26 Budget Share'!$A$5:$W$62,17,FALSE),0)</f>
        <v>121397</v>
      </c>
      <c r="U74" s="305">
        <f t="shared" si="1"/>
        <v>-33149</v>
      </c>
      <c r="V74" s="305">
        <f t="shared" si="49"/>
        <v>14708</v>
      </c>
      <c r="W74" s="305">
        <f>_xlfn.IFNA(VLOOKUP(A74,'2025-26 Budget Share'!$A$5:$W$62,21,FALSE),0)</f>
        <v>14282</v>
      </c>
      <c r="X74" s="256">
        <f t="shared" si="6"/>
        <v>426</v>
      </c>
      <c r="Y74" s="446">
        <f>_xlfn.XLOOKUP(A74,Data!$D$87:$D$164,Data!$F$87:$F$164)*'Budget Shares'!E74</f>
        <v>3358.5</v>
      </c>
      <c r="Z74" s="163"/>
      <c r="AA74" s="163">
        <f t="shared" si="50"/>
        <v>0</v>
      </c>
      <c r="AB74" s="163"/>
      <c r="AC74" s="102"/>
      <c r="AD74" s="102"/>
      <c r="AE74" s="102"/>
      <c r="AF74" s="102"/>
      <c r="AG74" s="102"/>
      <c r="AH74" s="102"/>
      <c r="AI74" s="102"/>
      <c r="AJ74" s="102"/>
      <c r="AK74" s="102"/>
      <c r="AL74" s="102"/>
      <c r="AM74" s="102"/>
      <c r="AN74" s="102"/>
      <c r="AO74" s="102"/>
    </row>
    <row r="75" spans="1:41">
      <c r="A75" s="168">
        <v>8504511</v>
      </c>
      <c r="B75" s="306" t="s">
        <v>43</v>
      </c>
      <c r="C75" s="147" t="str">
        <f>VLOOKUP(RIGHT(A75,4)*1,APN!A:C,3,FALSE)</f>
        <v>Academy</v>
      </c>
      <c r="D75" s="147" t="str">
        <f>VLOOKUP(A75,Data!$A$3:$I$81,9,FALSE)</f>
        <v>SEC</v>
      </c>
      <c r="E75" s="165">
        <f>VLOOKUP(A75,Data!A:E,5,FALSE)</f>
        <v>13.75</v>
      </c>
      <c r="F75" s="147" t="str">
        <f>VLOOKUP(A75,Data!$A$3:$J$81,10,FALSE)</f>
        <v>ASC</v>
      </c>
      <c r="G75" s="147"/>
      <c r="H75" s="295"/>
      <c r="I75" s="604">
        <f>VLOOKUP(A75,Data!A:E,5,FALSE)*place</f>
        <v>82500</v>
      </c>
      <c r="J75" s="609">
        <f>IFERROR(VLOOKUP(A75,'NOR Special Units'!$B:$AF,31,FALSE)*Values!$D$28,0)</f>
        <v>8000</v>
      </c>
      <c r="K75" s="607">
        <f>VLOOKUP(A75,Data!A:E,5,FALSE)*legacy</f>
        <v>7520.8443262837509</v>
      </c>
      <c r="L75" s="428" cm="1">
        <f t="array" ref="L75">INDEX(Values!$D$1:$D$985,MATCH(1,(Values!$B$1:$B$985=F75)*(Values!$C$1:$C$985=D75),0))*VLOOKUP(A75,Data!$A$1:$F$1029,6,FALSE)</f>
        <v>140896.25</v>
      </c>
      <c r="M75" s="157">
        <f>(VLOOKUP(A75,Data!$A$3:$X$81,18,FALSE)*IF(D75="Pri",TACT_PRI,TACT_SEC))+(VLOOKUP(A75,Data!$A$3:$X$81,19,FALSE)*IF(D75="Pri",SIGN_PRI,SIGN_SEC))+(VLOOKUP(A75,Data!$A$3:$X$81,20,FALSE)*IF(D75="Pri",NA_PRI,NA_SEC))+(VLOOKUP(A75,Data!$A$3:$X$81,21,FALSE)*IF(D75="Pri",asd_pri,asd_sec))+(VLOOKUP(A75,Data!$A$3:$X$81,22,FALSE)*IF(D75="Pri",MLD_PRI,MLD_SEC)+VLOOKUP(A75,Data!$A$3:$X$81,23,FALSE)*IF(D75="Pri",SEMH_PRI,SEMH_SEC))+(VLOOKUP(A75,Data!$A$3:$X$81,24,FALSE)*IF(D75="Pri",SLCN_PRI,SLCN_SEC))</f>
        <v>0</v>
      </c>
      <c r="N75" s="157">
        <f>(VLOOKUP(A75,Data!$A$3:$AD$81,26,FALSE)*IF(D75="Pri",NA_PRI,NA_SEC))+(VLOOKUP(A75,Data!$A$3:$AD$81,27,FALSE)*IF(D75="Pri",asd_pri,asd_sec))+(VLOOKUP(A75,Data!$A$3:$AD$81,28,FALSE)*IF(D75="Pri",MLD_PRI,MLD_SEC)+VLOOKUP(A75,Data!$A$3:$AD$81,29,FALSE)*IF(D75="Pri",SEMH_PRI,SEMH_SEC))+(VLOOKUP(A75,Data!$A$3:$AD$81,30,FALSE)*IF(D75="Pri",SLCN_PRI,SLCN_SEC))</f>
        <v>0</v>
      </c>
      <c r="O75" s="304">
        <f t="shared" si="4"/>
        <v>140896.25</v>
      </c>
      <c r="P75" s="159">
        <f t="shared" si="48"/>
        <v>10247</v>
      </c>
      <c r="Q75" s="160">
        <f>VLOOKUP($A75,MFG!$A$7:$AC$85,29,FALSE)*VLOOKUP($A75,Data!$A$4:$E$81,5,FALSE)</f>
        <v>0</v>
      </c>
      <c r="R75" s="167">
        <f t="shared" si="5"/>
        <v>140896.25</v>
      </c>
      <c r="S75" s="162"/>
      <c r="T75" s="255">
        <f>_xlfn.IFNA(VLOOKUP(A75,'2025-26 Budget Share'!$A$5:$W$62,17,FALSE),0)</f>
        <v>118944</v>
      </c>
      <c r="U75" s="305">
        <f t="shared" si="1"/>
        <v>21952.25</v>
      </c>
      <c r="V75" s="305">
        <f t="shared" si="49"/>
        <v>10247</v>
      </c>
      <c r="W75" s="305">
        <f>_xlfn.IFNA(VLOOKUP(A75,'2025-26 Budget Share'!$A$5:$W$62,21,FALSE),0)</f>
        <v>9912</v>
      </c>
      <c r="X75" s="256">
        <f t="shared" si="6"/>
        <v>335</v>
      </c>
      <c r="Y75" s="446">
        <f>_xlfn.XLOOKUP(A75,Data!$D$87:$D$164,Data!$F$87:$F$164)*'Budget Shares'!E75</f>
        <v>7022.81</v>
      </c>
      <c r="Z75" s="163"/>
      <c r="AA75" s="163">
        <f t="shared" si="50"/>
        <v>0</v>
      </c>
      <c r="AB75" s="163"/>
      <c r="AC75" s="102"/>
      <c r="AD75" s="102"/>
      <c r="AE75" s="102"/>
      <c r="AF75" s="102"/>
      <c r="AG75" s="102"/>
      <c r="AH75" s="102"/>
      <c r="AI75" s="102"/>
      <c r="AJ75" s="102"/>
      <c r="AK75" s="102"/>
      <c r="AL75" s="102"/>
      <c r="AM75" s="102"/>
      <c r="AN75" s="102"/>
      <c r="AO75" s="102"/>
    </row>
    <row r="76" spans="1:41">
      <c r="A76" s="168">
        <v>8505205</v>
      </c>
      <c r="B76" s="560" t="s">
        <v>178</v>
      </c>
      <c r="C76" s="147" t="str">
        <f>VLOOKUP(RIGHT(A76,4)*1,APN!A:C,3,FALSE)</f>
        <v>Academy</v>
      </c>
      <c r="D76" s="147" t="str">
        <f>VLOOKUP(A76,Data!$A$3:$I$81,9,FALSE)</f>
        <v>PRI</v>
      </c>
      <c r="E76" s="165">
        <f>VLOOKUP(A76,Data!A:E,5,FALSE)</f>
        <v>0</v>
      </c>
      <c r="F76" s="147" t="str">
        <f>VLOOKUP(A76,Data!$A$3:$J$81,10,FALSE)</f>
        <v>SEMH</v>
      </c>
      <c r="G76" s="147"/>
      <c r="H76" s="295"/>
      <c r="I76" s="604">
        <f>VLOOKUP(A76,Data!A:E,5,FALSE)*place</f>
        <v>0</v>
      </c>
      <c r="J76" s="609">
        <f>IFERROR(VLOOKUP(A76,'NOR Special Units'!$B:$AF,31,FALSE)*Values!$D$28,0)</f>
        <v>0</v>
      </c>
      <c r="K76" s="607">
        <f>VLOOKUP(A76,Data!A:E,5,FALSE)*legacy</f>
        <v>0</v>
      </c>
      <c r="L76" s="428" cm="1">
        <f t="array" ref="L76">INDEX(Values!$D$1:$D$985,MATCH(1,(Values!$B$1:$B$985=F76)*(Values!$C$1:$C$985=D76),0))*VLOOKUP(A76,Data!$A$1:$F$1029,6,FALSE)</f>
        <v>0</v>
      </c>
      <c r="M76" s="157">
        <f>(VLOOKUP(A76,Data!$A$3:$X$81,18,FALSE)*IF(D76="Pri",TACT_PRI,TACT_SEC))+(VLOOKUP(A76,Data!$A$3:$X$81,19,FALSE)*IF(D76="Pri",SIGN_PRI,SIGN_SEC))+(VLOOKUP(A76,Data!$A$3:$X$81,20,FALSE)*IF(D76="Pri",NA_PRI,NA_SEC))+(VLOOKUP(A76,Data!$A$3:$X$81,21,FALSE)*IF(D76="Pri",asd_pri,asd_sec))+(VLOOKUP(A76,Data!$A$3:$X$81,22,FALSE)*IF(D76="Pri",MLD_PRI,MLD_SEC)+VLOOKUP(A76,Data!$A$3:$X$81,23,FALSE)*IF(D76="Pri",SEMH_PRI,SEMH_SEC))+(VLOOKUP(A76,Data!$A$3:$X$81,24,FALSE)*IF(D76="Pri",SLCN_PRI,SLCN_SEC))</f>
        <v>0</v>
      </c>
      <c r="N76" s="157">
        <f>(VLOOKUP(A76,Data!$A$3:$AD$81,26,FALSE)*IF(D76="Pri",NA_PRI,NA_SEC))+(VLOOKUP(A76,Data!$A$3:$AD$81,27,FALSE)*IF(D76="Pri",asd_pri,asd_sec))+(VLOOKUP(A76,Data!$A$3:$AD$81,28,FALSE)*IF(D76="Pri",MLD_PRI,MLD_SEC)+VLOOKUP(A76,Data!$A$3:$AD$81,29,FALSE)*IF(D76="Pri",SEMH_PRI,SEMH_SEC))+(VLOOKUP(A76,Data!$A$3:$AD$81,30,FALSE)*IF(D76="Pri",SLCN_PRI,SLCN_SEC))</f>
        <v>0</v>
      </c>
      <c r="O76" s="304">
        <f t="shared" ref="O76" si="51">L76+M76+N76</f>
        <v>0</v>
      </c>
      <c r="P76" s="159">
        <f t="shared" si="48"/>
        <v>0</v>
      </c>
      <c r="Q76" s="160">
        <f>VLOOKUP($A76,MFG!$A$7:$AC$85,29,FALSE)*VLOOKUP($A76,Data!$A$4:$E$81,5,FALSE)</f>
        <v>0</v>
      </c>
      <c r="R76" s="167">
        <f t="shared" ref="R76" si="52">O76+Q76</f>
        <v>0</v>
      </c>
      <c r="S76" s="162"/>
      <c r="T76" s="255">
        <f>_xlfn.IFNA(VLOOKUP(A76,'2025-26 Budget Share'!$A$5:$W$62,17,FALSE),0)</f>
        <v>0</v>
      </c>
      <c r="U76" s="305">
        <f t="shared" ref="U76" si="53">R76-T76</f>
        <v>0</v>
      </c>
      <c r="V76" s="305">
        <f t="shared" si="49"/>
        <v>0</v>
      </c>
      <c r="W76" s="305">
        <f>_xlfn.IFNA(VLOOKUP(A76,'2025-26 Budget Share'!$A$5:$W$62,21,FALSE),0)</f>
        <v>0</v>
      </c>
      <c r="X76" s="256">
        <f t="shared" ref="X76" si="54">V76-W76</f>
        <v>0</v>
      </c>
      <c r="Y76" s="446">
        <f>_xlfn.XLOOKUP(A76,Data!$D$87:$D$164,Data!$F$87:$F$164)*'Budget Shares'!E76</f>
        <v>0</v>
      </c>
      <c r="Z76" s="163"/>
      <c r="AA76" s="163">
        <f t="shared" si="50"/>
        <v>0</v>
      </c>
      <c r="AB76" s="163"/>
      <c r="AC76" s="102"/>
      <c r="AD76" s="102"/>
      <c r="AE76" s="102"/>
      <c r="AF76" s="102"/>
      <c r="AG76" s="102"/>
      <c r="AH76" s="102"/>
      <c r="AI76" s="102"/>
      <c r="AJ76" s="102"/>
      <c r="AK76" s="102"/>
      <c r="AL76" s="102"/>
      <c r="AM76" s="102"/>
      <c r="AN76" s="102"/>
      <c r="AO76" s="102"/>
    </row>
    <row r="77" spans="1:41">
      <c r="A77" s="168">
        <v>8505208</v>
      </c>
      <c r="B77" s="306" t="s">
        <v>44</v>
      </c>
      <c r="C77" s="147" t="str">
        <f>VLOOKUP(RIGHT(A77,4)*1,APN!A:C,3,FALSE)</f>
        <v>Maintained</v>
      </c>
      <c r="D77" s="147" t="str">
        <f>VLOOKUP(A77,Data!$A$3:$I$81,9,FALSE)</f>
        <v>PRI</v>
      </c>
      <c r="E77" s="165">
        <f>VLOOKUP(A77,Data!A:E,5,FALSE)</f>
        <v>14.000000000000002</v>
      </c>
      <c r="F77" s="147" t="str">
        <f>VLOOKUP(A77,Data!$A$3:$J$81,10,FALSE)</f>
        <v>MLD</v>
      </c>
      <c r="G77" s="551"/>
      <c r="H77" s="295"/>
      <c r="I77" s="604">
        <f>VLOOKUP(A77,Data!A:E,5,FALSE)*place</f>
        <v>84000.000000000015</v>
      </c>
      <c r="J77" s="609">
        <f>IFERROR(VLOOKUP(A77,'NOR Special Units'!$B:$AF,31,FALSE)*Values!$D$28,0)</f>
        <v>0</v>
      </c>
      <c r="K77" s="607">
        <f>VLOOKUP(A77,Data!A:E,5,FALSE)*legacy</f>
        <v>7657.586950398002</v>
      </c>
      <c r="L77" s="428" cm="1">
        <f t="array" ref="L77">INDEX(Values!$D$1:$D$985,MATCH(1,(Values!$B$1:$B$985=F77)*(Values!$C$1:$C$985=D77),0))*VLOOKUP(A77,Data!$A$1:$F$1029,6,FALSE)</f>
        <v>21476</v>
      </c>
      <c r="M77" s="157">
        <f>(VLOOKUP(A77,Data!$A$3:$X$81,18,FALSE)*IF(D77="Pri",TACT_PRI,TACT_SEC))+(VLOOKUP(A77,Data!$A$3:$X$81,19,FALSE)*IF(D77="Pri",SIGN_PRI,SIGN_SEC))+(VLOOKUP(A77,Data!$A$3:$X$81,20,FALSE)*IF(D77="Pri",NA_PRI,NA_SEC))+(VLOOKUP(A77,Data!$A$3:$X$81,21,FALSE)*IF(D77="Pri",asd_pri,asd_sec))+(VLOOKUP(A77,Data!$A$3:$X$81,22,FALSE)*IF(D77="Pri",MLD_PRI,MLD_SEC)+VLOOKUP(A77,Data!$A$3:$X$81,23,FALSE)*IF(D77="Pri",SEMH_PRI,SEMH_SEC))+(VLOOKUP(A77,Data!$A$3:$X$81,24,FALSE)*IF(D77="Pri",SLCN_PRI,SLCN_SEC))</f>
        <v>0</v>
      </c>
      <c r="N77" s="157">
        <f>(VLOOKUP(A77,Data!$A$3:$AD$81,26,FALSE)*IF(D77="Pri",NA_PRI,NA_SEC))+(VLOOKUP(A77,Data!$A$3:$AD$81,27,FALSE)*IF(D77="Pri",asd_pri,asd_sec))+(VLOOKUP(A77,Data!$A$3:$AD$81,28,FALSE)*IF(D77="Pri",MLD_PRI,MLD_SEC)+VLOOKUP(A77,Data!$A$3:$AD$81,29,FALSE)*IF(D77="Pri",SEMH_PRI,SEMH_SEC))+(VLOOKUP(A77,Data!$A$3:$AD$81,30,FALSE)*IF(D77="Pri",SLCN_PRI,SLCN_SEC))</f>
        <v>0</v>
      </c>
      <c r="O77" s="304">
        <f t="shared" si="4"/>
        <v>21476</v>
      </c>
      <c r="P77" s="159">
        <f t="shared" si="48"/>
        <v>1533.9999999999998</v>
      </c>
      <c r="Q77" s="160">
        <f>VLOOKUP($A77,MFG!$A$7:$AC$85,29,FALSE)*VLOOKUP($A77,Data!$A$4:$E$81,5,FALSE)</f>
        <v>0</v>
      </c>
      <c r="R77" s="167">
        <f t="shared" si="5"/>
        <v>21476</v>
      </c>
      <c r="S77" s="162"/>
      <c r="T77" s="255">
        <f>_xlfn.IFNA(VLOOKUP(A77,'2025-26 Budget Share'!$A$5:$W$62,17,FALSE),0)</f>
        <v>19306</v>
      </c>
      <c r="U77" s="305">
        <f t="shared" si="1"/>
        <v>2170</v>
      </c>
      <c r="V77" s="305">
        <f t="shared" si="49"/>
        <v>1533.9999999999998</v>
      </c>
      <c r="W77" s="305">
        <f>_xlfn.IFNA(VLOOKUP(A77,'2025-26 Budget Share'!$A$5:$W$62,21,FALSE),0)</f>
        <v>1378.9999999999998</v>
      </c>
      <c r="X77" s="256">
        <f t="shared" si="6"/>
        <v>155</v>
      </c>
      <c r="Y77" s="446">
        <f>_xlfn.XLOOKUP(A77,Data!$D$87:$D$164,Data!$F$87:$F$164)*'Budget Shares'!E77</f>
        <v>3998.5400000000009</v>
      </c>
      <c r="Z77" s="163"/>
      <c r="AA77" s="163">
        <f t="shared" si="50"/>
        <v>0</v>
      </c>
      <c r="AB77" s="163"/>
      <c r="AC77" s="102"/>
      <c r="AD77" s="102"/>
      <c r="AE77" s="102"/>
      <c r="AF77" s="102"/>
      <c r="AG77" s="102"/>
      <c r="AH77" s="102"/>
      <c r="AI77" s="102"/>
      <c r="AJ77" s="102"/>
      <c r="AK77" s="102"/>
      <c r="AL77" s="102"/>
      <c r="AM77" s="102"/>
      <c r="AN77" s="102"/>
      <c r="AO77" s="102"/>
    </row>
    <row r="78" spans="1:41">
      <c r="A78" s="168">
        <v>8505405</v>
      </c>
      <c r="B78" s="306" t="s">
        <v>45</v>
      </c>
      <c r="C78" s="147" t="str">
        <f>VLOOKUP(RIGHT(A78,4)*1,APN!A:C,3,FALSE)</f>
        <v>Academy</v>
      </c>
      <c r="D78" s="147" t="str">
        <f>VLOOKUP(A78,Data!$A$3:$I$81,9,FALSE)</f>
        <v>SEC</v>
      </c>
      <c r="E78" s="165">
        <f>VLOOKUP(A78,Data!A:E,5,FALSE)</f>
        <v>12</v>
      </c>
      <c r="F78" s="147" t="str">
        <f>VLOOKUP(A78,Data!$A$3:$J$81,10,FALSE)</f>
        <v>ASC</v>
      </c>
      <c r="G78" s="147"/>
      <c r="H78" s="295"/>
      <c r="I78" s="604">
        <f>VLOOKUP(A78,Data!A:E,5,FALSE)*place</f>
        <v>72000</v>
      </c>
      <c r="J78" s="609">
        <f>IFERROR(VLOOKUP(A78,'NOR Special Units'!$B:$AF,31,FALSE)*Values!$D$28,0)</f>
        <v>0</v>
      </c>
      <c r="K78" s="607">
        <f>VLOOKUP(A78,Data!A:E,5,FALSE)*legacy</f>
        <v>6563.645957484001</v>
      </c>
      <c r="L78" s="428" cm="1">
        <f t="array" ref="L78">INDEX(Values!$D$1:$D$985,MATCH(1,(Values!$B$1:$B$985=F78)*(Values!$C$1:$C$985=D78),0))*VLOOKUP(A78,Data!$A$1:$F$1029,6,FALSE)</f>
        <v>122964</v>
      </c>
      <c r="M78" s="157">
        <f>(VLOOKUP(A78,Data!$A$3:$X$81,18,FALSE)*IF(D78="Pri",TACT_PRI,TACT_SEC))+(VLOOKUP(A78,Data!$A$3:$X$81,19,FALSE)*IF(D78="Pri",SIGN_PRI,SIGN_SEC))+(VLOOKUP(A78,Data!$A$3:$X$81,20,FALSE)*IF(D78="Pri",NA_PRI,NA_SEC))+(VLOOKUP(A78,Data!$A$3:$X$81,21,FALSE)*IF(D78="Pri",asd_pri,asd_sec))+(VLOOKUP(A78,Data!$A$3:$X$81,22,FALSE)*IF(D78="Pri",MLD_PRI,MLD_SEC)+VLOOKUP(A78,Data!$A$3:$X$81,23,FALSE)*IF(D78="Pri",SEMH_PRI,SEMH_SEC))+(VLOOKUP(A78,Data!$A$3:$X$81,24,FALSE)*IF(D78="Pri",SLCN_PRI,SLCN_SEC))</f>
        <v>0</v>
      </c>
      <c r="N78" s="157">
        <f>(VLOOKUP(A78,Data!$A$3:$AD$81,26,FALSE)*IF(D78="Pri",NA_PRI,NA_SEC))+(VLOOKUP(A78,Data!$A$3:$AD$81,27,FALSE)*IF(D78="Pri",asd_pri,asd_sec))+(VLOOKUP(A78,Data!$A$3:$AD$81,28,FALSE)*IF(D78="Pri",MLD_PRI,MLD_SEC)+VLOOKUP(A78,Data!$A$3:$AD$81,29,FALSE)*IF(D78="Pri",SEMH_PRI,SEMH_SEC))+(VLOOKUP(A78,Data!$A$3:$AD$81,30,FALSE)*IF(D78="Pri",SLCN_PRI,SLCN_SEC))</f>
        <v>0</v>
      </c>
      <c r="O78" s="304">
        <f t="shared" si="4"/>
        <v>122964</v>
      </c>
      <c r="P78" s="159">
        <f t="shared" si="48"/>
        <v>10247</v>
      </c>
      <c r="Q78" s="160">
        <f>VLOOKUP($A78,MFG!$A$7:$AC$85,29,FALSE)*VLOOKUP($A78,Data!$A$4:$E$81,5,FALSE)</f>
        <v>0</v>
      </c>
      <c r="R78" s="167">
        <f t="shared" si="5"/>
        <v>122964</v>
      </c>
      <c r="S78" s="162"/>
      <c r="T78" s="255">
        <f>_xlfn.IFNA(VLOOKUP(A78,'2025-26 Budget Share'!$A$5:$W$62,17,FALSE),0)</f>
        <v>118944</v>
      </c>
      <c r="U78" s="305">
        <f t="shared" si="1"/>
        <v>4020</v>
      </c>
      <c r="V78" s="305">
        <f t="shared" si="49"/>
        <v>10247</v>
      </c>
      <c r="W78" s="305">
        <f>_xlfn.IFNA(VLOOKUP(A78,'2025-26 Budget Share'!$A$5:$W$62,21,FALSE),0)</f>
        <v>9912</v>
      </c>
      <c r="X78" s="256">
        <f t="shared" si="6"/>
        <v>335</v>
      </c>
      <c r="Y78" s="446">
        <f>_xlfn.XLOOKUP(A78,Data!$D$87:$D$164,Data!$F$87:$F$164)*'Budget Shares'!E78</f>
        <v>6129</v>
      </c>
      <c r="Z78" s="163"/>
      <c r="AA78" s="163">
        <f t="shared" si="50"/>
        <v>0</v>
      </c>
      <c r="AB78" s="163"/>
      <c r="AC78" s="102"/>
      <c r="AD78" s="102"/>
      <c r="AE78" s="102"/>
      <c r="AF78" s="102"/>
      <c r="AG78" s="102"/>
      <c r="AH78" s="102"/>
      <c r="AI78" s="102"/>
      <c r="AJ78" s="102"/>
      <c r="AK78" s="102"/>
      <c r="AL78" s="102"/>
      <c r="AM78" s="102"/>
      <c r="AN78" s="102"/>
      <c r="AO78" s="102"/>
    </row>
    <row r="79" spans="1:41">
      <c r="A79" s="168">
        <v>8505406</v>
      </c>
      <c r="B79" s="549" t="s">
        <v>179</v>
      </c>
      <c r="C79" s="147" t="str">
        <f>VLOOKUP(RIGHT(A79,4)*1,APN!A:C,3,FALSE)</f>
        <v>Academy</v>
      </c>
      <c r="D79" s="147" t="str">
        <f>VLOOKUP(A79,Data!$A$3:$I$81,9,FALSE)</f>
        <v>SEC</v>
      </c>
      <c r="E79" s="165">
        <f>VLOOKUP(A79,Data!A:E,5,FALSE)</f>
        <v>0</v>
      </c>
      <c r="F79" s="147" t="str">
        <f>VLOOKUP(A79,Data!$A$3:$J$81,10,FALSE)</f>
        <v>ASC</v>
      </c>
      <c r="G79" s="147"/>
      <c r="H79" s="295"/>
      <c r="I79" s="604">
        <f>VLOOKUP(A79,Data!A:E,5,FALSE)*place</f>
        <v>0</v>
      </c>
      <c r="J79" s="609">
        <f>IFERROR(VLOOKUP(A79,'NOR Special Units'!$B:$AF,31,FALSE)*Values!$D$28,0)</f>
        <v>0</v>
      </c>
      <c r="K79" s="607">
        <f>VLOOKUP(A79,Data!A:E,5,FALSE)*legacy</f>
        <v>0</v>
      </c>
      <c r="L79" s="428" cm="1">
        <f t="array" ref="L79">INDEX(Values!$D$1:$D$985,MATCH(1,(Values!$B$1:$B$985=F79)*(Values!$C$1:$C$985=D79),0))*VLOOKUP(A79,Data!$A$1:$F$1029,6,FALSE)</f>
        <v>0</v>
      </c>
      <c r="M79" s="157">
        <f>(VLOOKUP(A79,Data!$A$3:$X$81,18,FALSE)*IF(D79="Pri",TACT_PRI,TACT_SEC))+(VLOOKUP(A79,Data!$A$3:$X$81,19,FALSE)*IF(D79="Pri",SIGN_PRI,SIGN_SEC))+(VLOOKUP(A79,Data!$A$3:$X$81,20,FALSE)*IF(D79="Pri",NA_PRI,NA_SEC))+(VLOOKUP(A79,Data!$A$3:$X$81,21,FALSE)*IF(D79="Pri",asd_pri,asd_sec))+(VLOOKUP(A79,Data!$A$3:$X$81,22,FALSE)*IF(D79="Pri",MLD_PRI,MLD_SEC)+VLOOKUP(A79,Data!$A$3:$X$81,23,FALSE)*IF(D79="Pri",SEMH_PRI,SEMH_SEC))+(VLOOKUP(A79,Data!$A$3:$X$81,24,FALSE)*IF(D79="Pri",SLCN_PRI,SLCN_SEC))</f>
        <v>0</v>
      </c>
      <c r="N79" s="157">
        <f>(VLOOKUP(A79,Data!$A$3:$AD$81,26,FALSE)*IF(D79="Pri",NA_PRI,NA_SEC))+(VLOOKUP(A79,Data!$A$3:$AD$81,27,FALSE)*IF(D79="Pri",asd_pri,asd_sec))+(VLOOKUP(A79,Data!$A$3:$AD$81,28,FALSE)*IF(D79="Pri",MLD_PRI,MLD_SEC)+VLOOKUP(A79,Data!$A$3:$AD$81,29,FALSE)*IF(D79="Pri",SEMH_PRI,SEMH_SEC))+(VLOOKUP(A79,Data!$A$3:$AD$81,30,FALSE)*IF(D79="Pri",SLCN_PRI,SLCN_SEC))</f>
        <v>0</v>
      </c>
      <c r="O79" s="304">
        <f t="shared" si="4"/>
        <v>0</v>
      </c>
      <c r="P79" s="159">
        <f t="shared" si="48"/>
        <v>0</v>
      </c>
      <c r="Q79" s="160">
        <f>VLOOKUP($A79,MFG!$A$7:$AC$85,29,FALSE)*VLOOKUP($A79,Data!$A$4:$E$81,5,FALSE)</f>
        <v>0</v>
      </c>
      <c r="R79" s="167">
        <f t="shared" si="5"/>
        <v>0</v>
      </c>
      <c r="S79" s="162"/>
      <c r="T79" s="255">
        <f>_xlfn.IFNA(VLOOKUP(A79,'2025-26 Budget Share'!$A$5:$W$62,17,FALSE),0)</f>
        <v>0</v>
      </c>
      <c r="U79" s="305">
        <f t="shared" si="1"/>
        <v>0</v>
      </c>
      <c r="V79" s="305">
        <f t="shared" si="49"/>
        <v>0</v>
      </c>
      <c r="W79" s="305">
        <f>_xlfn.IFNA(VLOOKUP(A79,'2025-26 Budget Share'!$A$5:$W$62,21,FALSE),0)</f>
        <v>0</v>
      </c>
      <c r="X79" s="256">
        <f t="shared" si="6"/>
        <v>0</v>
      </c>
      <c r="Y79" s="446">
        <f>_xlfn.XLOOKUP(A79,Data!$D$87:$D$164,Data!$F$87:$F$164)*'Budget Shares'!E79</f>
        <v>0</v>
      </c>
      <c r="Z79" s="163"/>
      <c r="AA79" s="163">
        <f t="shared" si="50"/>
        <v>0</v>
      </c>
      <c r="AB79" s="163"/>
      <c r="AC79" s="102"/>
      <c r="AD79" s="102"/>
      <c r="AE79" s="102"/>
      <c r="AF79" s="102"/>
      <c r="AG79" s="102"/>
      <c r="AH79" s="102"/>
      <c r="AI79" s="102"/>
      <c r="AJ79" s="102"/>
      <c r="AK79" s="102"/>
      <c r="AL79" s="102"/>
      <c r="AM79" s="102"/>
      <c r="AN79" s="102"/>
      <c r="AO79" s="102"/>
    </row>
    <row r="80" spans="1:41">
      <c r="A80" s="168">
        <v>8505408</v>
      </c>
      <c r="B80" s="549" t="s">
        <v>180</v>
      </c>
      <c r="C80" s="147" t="str">
        <f>VLOOKUP(RIGHT(A80,4)*1,APN!A:C,3,FALSE)</f>
        <v>Academy</v>
      </c>
      <c r="D80" s="147" t="str">
        <f>VLOOKUP(A80,Data!$A$3:$I$81,9,FALSE)</f>
        <v>SEC</v>
      </c>
      <c r="E80" s="165">
        <f>VLOOKUP(A80,Data!A:E,5,FALSE)</f>
        <v>4.0833333333333339</v>
      </c>
      <c r="F80" s="147" t="str">
        <f>VLOOKUP(A80,Data!$A$3:$J$81,10,FALSE)</f>
        <v>ASC</v>
      </c>
      <c r="G80" s="147"/>
      <c r="H80" s="295"/>
      <c r="I80" s="604">
        <f>VLOOKUP(A80,Data!A:E,5,FALSE)*place</f>
        <v>24500.000000000004</v>
      </c>
      <c r="J80" s="609">
        <f>IFERROR(VLOOKUP(A80,'NOR Special Units'!$B:$AF,31,FALSE)*Values!$D$28,0)</f>
        <v>28000</v>
      </c>
      <c r="K80" s="607">
        <f>VLOOKUP(A80,Data!A:E,5,FALSE)*legacy</f>
        <v>2233.4628605327507</v>
      </c>
      <c r="L80" s="428" cm="1">
        <f t="array" ref="L80">INDEX(Values!$D$1:$D$985,MATCH(1,(Values!$B$1:$B$985=F80)*(Values!$C$1:$C$985=D80),0))*VLOOKUP(A80,Data!$A$1:$F$1029,6,FALSE)</f>
        <v>41841.916666666664</v>
      </c>
      <c r="M80" s="157">
        <f>(VLOOKUP(A80,Data!$A$3:$X$81,18,FALSE)*IF(D80="Pri",TACT_PRI,TACT_SEC))+(VLOOKUP(A80,Data!$A$3:$X$81,19,FALSE)*IF(D80="Pri",SIGN_PRI,SIGN_SEC))+(VLOOKUP(A80,Data!$A$3:$X$81,20,FALSE)*IF(D80="Pri",NA_PRI,NA_SEC))+(VLOOKUP(A80,Data!$A$3:$X$81,21,FALSE)*IF(D80="Pri",asd_pri,asd_sec))+(VLOOKUP(A80,Data!$A$3:$X$81,22,FALSE)*IF(D80="Pri",MLD_PRI,MLD_SEC)+VLOOKUP(A80,Data!$A$3:$X$81,23,FALSE)*IF(D80="Pri",SEMH_PRI,SEMH_SEC))+(VLOOKUP(A80,Data!$A$3:$X$81,24,FALSE)*IF(D80="Pri",SLCN_PRI,SLCN_SEC))</f>
        <v>0</v>
      </c>
      <c r="N80" s="157">
        <f>(VLOOKUP(A80,Data!$A$3:$AD$81,26,FALSE)*IF(D80="Pri",NA_PRI,NA_SEC))+(VLOOKUP(A80,Data!$A$3:$AD$81,27,FALSE)*IF(D80="Pri",asd_pri,asd_sec))+(VLOOKUP(A80,Data!$A$3:$AD$81,28,FALSE)*IF(D80="Pri",MLD_PRI,MLD_SEC)+VLOOKUP(A80,Data!$A$3:$AD$81,29,FALSE)*IF(D80="Pri",SEMH_PRI,SEMH_SEC))+(VLOOKUP(A80,Data!$A$3:$AD$81,30,FALSE)*IF(D80="Pri",SLCN_PRI,SLCN_SEC))</f>
        <v>0</v>
      </c>
      <c r="O80" s="304">
        <f t="shared" si="4"/>
        <v>41841.916666666664</v>
      </c>
      <c r="P80" s="159">
        <f t="shared" si="48"/>
        <v>10246.999999999998</v>
      </c>
      <c r="Q80" s="160">
        <f>VLOOKUP($A80,MFG!$A$7:$AC$85,29,FALSE)*VLOOKUP($A80,Data!$A$4:$E$81,5,FALSE)</f>
        <v>0</v>
      </c>
      <c r="R80" s="167">
        <f t="shared" si="5"/>
        <v>41841.916666666664</v>
      </c>
      <c r="S80" s="162"/>
      <c r="T80" s="255">
        <f>_xlfn.IFNA(VLOOKUP(A80,'2025-26 Budget Share'!$A$5:$W$62,17,FALSE),0)</f>
        <v>0</v>
      </c>
      <c r="U80" s="305">
        <f t="shared" si="1"/>
        <v>41841.916666666664</v>
      </c>
      <c r="V80" s="305">
        <f t="shared" si="49"/>
        <v>10246.999999999998</v>
      </c>
      <c r="W80" s="305">
        <f>_xlfn.IFNA(VLOOKUP(A80,'2025-26 Budget Share'!$A$5:$W$62,21,FALSE),0)</f>
        <v>0</v>
      </c>
      <c r="X80" s="256">
        <f t="shared" si="6"/>
        <v>10246.999999999998</v>
      </c>
      <c r="Y80" s="446">
        <f>_xlfn.XLOOKUP(A80,Data!$D$87:$D$164,Data!$F$87:$F$164)*'Budget Shares'!E80</f>
        <v>2085.5600000000004</v>
      </c>
      <c r="Z80" s="163"/>
      <c r="AA80" s="163">
        <f t="shared" si="50"/>
        <v>0</v>
      </c>
      <c r="AB80" s="163"/>
      <c r="AC80" s="102"/>
      <c r="AD80" s="102"/>
      <c r="AE80" s="102"/>
      <c r="AF80" s="102"/>
      <c r="AG80" s="102"/>
      <c r="AH80" s="102"/>
      <c r="AI80" s="102"/>
      <c r="AJ80" s="102"/>
      <c r="AK80" s="102"/>
      <c r="AL80" s="102"/>
      <c r="AM80" s="102"/>
      <c r="AN80" s="102"/>
      <c r="AO80" s="102"/>
    </row>
    <row r="81" spans="1:41">
      <c r="A81" s="168">
        <v>8505412</v>
      </c>
      <c r="B81" s="306" t="s">
        <v>46</v>
      </c>
      <c r="C81" s="147" t="str">
        <f>VLOOKUP(RIGHT(A81,4)*1,APN!A:C,3,FALSE)</f>
        <v>Maintained</v>
      </c>
      <c r="D81" s="147" t="str">
        <f>VLOOKUP(A81,Data!$A$3:$I$81,9,FALSE)</f>
        <v>SEC</v>
      </c>
      <c r="E81" s="165">
        <f>VLOOKUP(A81,Data!A:E,5,FALSE)</f>
        <v>19.333333333333336</v>
      </c>
      <c r="F81" s="147" t="str">
        <f>VLOOKUP(A81,Data!$A$3:$J$81,10,FALSE)</f>
        <v>SpLD</v>
      </c>
      <c r="G81" s="147" t="s">
        <v>141</v>
      </c>
      <c r="H81" s="295"/>
      <c r="I81" s="604">
        <f>VLOOKUP(A81,Data!A:E,5,FALSE)*place</f>
        <v>116000.00000000001</v>
      </c>
      <c r="J81" s="609">
        <f>IFERROR(VLOOKUP(A81,'NOR Special Units'!$B:$AF,31,FALSE)*Values!$D$28,0)</f>
        <v>21320</v>
      </c>
      <c r="K81" s="607">
        <f>VLOOKUP(A81,Data!A:E,5,FALSE)*legacy</f>
        <v>10574.762931502002</v>
      </c>
      <c r="L81" s="428" cm="1">
        <f t="array" ref="L81">INDEX(Values!$D$1:$D$985,MATCH(1,(Values!$B$1:$B$985=F81)*(Values!$C$1:$C$985=D81),0))*VLOOKUP(A81,Data!$A$1:$F$1029,6,FALSE)</f>
        <v>15732</v>
      </c>
      <c r="M81" s="157">
        <f>(VLOOKUP(A81,Data!$A$3:$X$81,18,FALSE)*IF(D81="Pri",TACT_PRI,TACT_SEC))+(VLOOKUP(A81,Data!$A$3:$X$81,19,FALSE)*IF(D81="Pri",SIGN_PRI,SIGN_SEC))+(VLOOKUP(A81,Data!$A$3:$X$81,20,FALSE)*IF(D81="Pri",NA_PRI,NA_SEC))+(VLOOKUP(A81,Data!$A$3:$X$81,21,FALSE)*IF(D81="Pri",asd_pri,asd_sec))+(VLOOKUP(A81,Data!$A$3:$X$81,22,FALSE)*IF(D81="Pri",MLD_PRI,MLD_SEC)+VLOOKUP(A81,Data!$A$3:$X$81,23,FALSE)*IF(D81="Pri",SEMH_PRI,SEMH_SEC))+(VLOOKUP(A81,Data!$A$3:$X$81,24,FALSE)*IF(D81="Pri",SLCN_PRI,SLCN_SEC))</f>
        <v>75144.666666666686</v>
      </c>
      <c r="N81" s="157">
        <f>(VLOOKUP(A81,Data!$A$3:$AD$81,26,FALSE)*IF(D81="Pri",NA_PRI,NA_SEC))+(VLOOKUP(A81,Data!$A$3:$AD$81,27,FALSE)*IF(D81="Pri",asd_pri,asd_sec))+(VLOOKUP(A81,Data!$A$3:$AD$81,28,FALSE)*IF(D81="Pri",MLD_PRI,MLD_SEC)+VLOOKUP(A81,Data!$A$3:$AD$81,29,FALSE)*IF(D81="Pri",SEMH_PRI,SEMH_SEC))+(VLOOKUP(A81,Data!$A$3:$AD$81,30,FALSE)*IF(D81="Pri",SLCN_PRI,SLCN_SEC))</f>
        <v>0</v>
      </c>
      <c r="O81" s="304">
        <f t="shared" ref="O81" si="55">L81+M81+N81</f>
        <v>90876.666666666686</v>
      </c>
      <c r="P81" s="159">
        <f t="shared" si="48"/>
        <v>4700.5172413793107</v>
      </c>
      <c r="Q81" s="160">
        <f>VLOOKUP($A81,MFG!$A$7:$AC$85,29,FALSE)*VLOOKUP($A81,Data!$A$4:$E$81,5,FALSE)</f>
        <v>0</v>
      </c>
      <c r="R81" s="167">
        <f t="shared" ref="R81" si="56">O81+Q81</f>
        <v>90876.666666666686</v>
      </c>
      <c r="S81" s="162"/>
      <c r="T81" s="255">
        <f>_xlfn.IFNA(VLOOKUP(A81,'2025-26 Budget Share'!$A$5:$W$62,17,FALSE),0)</f>
        <v>46696.666666666657</v>
      </c>
      <c r="U81" s="305">
        <f t="shared" ref="U81" si="57">R81-T81</f>
        <v>44180.000000000029</v>
      </c>
      <c r="V81" s="305">
        <f t="shared" si="49"/>
        <v>4700.5172413793107</v>
      </c>
      <c r="W81" s="305">
        <f>_xlfn.IFNA(VLOOKUP(A81,'2025-26 Budget Share'!$A$5:$W$62,21,FALSE),0)</f>
        <v>2558.7214611872141</v>
      </c>
      <c r="X81" s="256">
        <f t="shared" ref="X81" si="58">V81-W81</f>
        <v>2141.7957801920966</v>
      </c>
      <c r="Y81" s="446">
        <f>_xlfn.XLOOKUP(A81,Data!$D$87:$D$164,Data!$F$87:$F$164)*'Budget Shares'!E81</f>
        <v>6503.22</v>
      </c>
      <c r="Z81" s="163"/>
      <c r="AA81" s="163">
        <f t="shared" si="50"/>
        <v>0</v>
      </c>
      <c r="AB81" s="163"/>
      <c r="AC81" s="102"/>
      <c r="AD81" s="102"/>
      <c r="AE81" s="102"/>
      <c r="AF81" s="102"/>
      <c r="AG81" s="102"/>
      <c r="AH81" s="102"/>
      <c r="AI81" s="102"/>
      <c r="AJ81" s="102"/>
      <c r="AK81" s="102"/>
      <c r="AL81" s="102"/>
      <c r="AM81" s="102"/>
      <c r="AN81" s="102"/>
      <c r="AO81" s="102"/>
    </row>
    <row r="82" spans="1:41" ht="15" thickBot="1">
      <c r="A82" s="169">
        <v>8505416</v>
      </c>
      <c r="B82" s="170" t="s">
        <v>181</v>
      </c>
      <c r="C82" s="171" t="str">
        <f>VLOOKUP(RIGHT(A82,4)*1,APN!A:C,3,FALSE)</f>
        <v>Academy</v>
      </c>
      <c r="D82" s="171" t="str">
        <f>VLOOKUP(A82,Data!$A$3:$I$81,9,FALSE)</f>
        <v>SEC</v>
      </c>
      <c r="E82" s="172">
        <f>VLOOKUP(A82,Data!A:E,5,FALSE)</f>
        <v>13.75</v>
      </c>
      <c r="F82" s="171" t="str">
        <f>VLOOKUP(A82,Data!$A$3:$J$81,10,FALSE)</f>
        <v>SEMH</v>
      </c>
      <c r="G82" s="171"/>
      <c r="H82" s="296"/>
      <c r="I82" s="605">
        <f>VLOOKUP(A82,Data!A:E,5,FALSE)*place</f>
        <v>82500</v>
      </c>
      <c r="J82" s="610">
        <f>IFERROR(VLOOKUP(A82,'NOR Special Units'!$B:$AF,31,FALSE)*Values!$D$28,0)</f>
        <v>4000</v>
      </c>
      <c r="K82" s="608">
        <f>VLOOKUP(A82,Data!A:E,5,FALSE)*legacy</f>
        <v>7520.8443262837509</v>
      </c>
      <c r="L82" s="429" cm="1">
        <f t="array" ref="L82">INDEX(Values!$D$1:$D$985,MATCH(1,(Values!$B$1:$B$985=F82)*(Values!$C$1:$C$985=D82),0))*VLOOKUP(A82,Data!$A$1:$F$1029,6,FALSE)</f>
        <v>159252.5</v>
      </c>
      <c r="M82" s="547">
        <f>(VLOOKUP(A82,Data!$A$3:$X$81,18,FALSE)*IF(D82="Pri",TACT_PRI,TACT_SEC))+(VLOOKUP(A82,Data!$A$3:$X$81,19,FALSE)*IF(D82="Pri",SIGN_PRI,SIGN_SEC))+(VLOOKUP(A82,Data!$A$3:$X$81,20,FALSE)*IF(D82="Pri",NA_PRI,NA_SEC))+(VLOOKUP(A82,Data!$A$3:$X$81,21,FALSE)*IF(D82="Pri",asd_pri,asd_sec))+(VLOOKUP(A82,Data!$A$3:$X$81,22,FALSE)*IF(D82="Pri",MLD_PRI,MLD_SEC)+VLOOKUP(A82,Data!$A$3:$X$81,23,FALSE)*IF(D82="Pri",SEMH_PRI,SEMH_SEC))+(VLOOKUP(A82,Data!$A$3:$X$81,24,FALSE)*IF(D82="Pri",SLCN_PRI,SLCN_SEC))</f>
        <v>0</v>
      </c>
      <c r="N82" s="547">
        <f>(VLOOKUP(A82,Data!$A$3:$AD$81,26,FALSE)*IF(D82="Pri",NA_PRI,NA_SEC))+(VLOOKUP(A82,Data!$A$3:$AD$81,27,FALSE)*IF(D82="Pri",asd_pri,asd_sec))+(VLOOKUP(A82,Data!$A$3:$AD$81,28,FALSE)*IF(D82="Pri",MLD_PRI,MLD_SEC)+VLOOKUP(A82,Data!$A$3:$AD$81,29,FALSE)*IF(D82="Pri",SEMH_PRI,SEMH_SEC))+(VLOOKUP(A82,Data!$A$3:$AD$81,30,FALSE)*IF(D82="Pri",SLCN_PRI,SLCN_SEC))</f>
        <v>0</v>
      </c>
      <c r="O82" s="175">
        <f t="shared" si="4"/>
        <v>159252.5</v>
      </c>
      <c r="P82" s="176">
        <f t="shared" si="48"/>
        <v>11582</v>
      </c>
      <c r="Q82" s="177">
        <f>VLOOKUP($A82,MFG!$A$7:$AC$85,29,FALSE)*VLOOKUP($A82,Data!$A$4:$E$81,5,FALSE)</f>
        <v>0</v>
      </c>
      <c r="R82" s="178">
        <f t="shared" si="5"/>
        <v>159252.5</v>
      </c>
      <c r="S82" s="162"/>
      <c r="T82" s="257">
        <f>_xlfn.IFNA(VLOOKUP(A82,'2025-26 Budget Share'!$A$5:$W$62,17,FALSE),0)</f>
        <v>78540</v>
      </c>
      <c r="U82" s="258">
        <f t="shared" si="1"/>
        <v>80712.5</v>
      </c>
      <c r="V82" s="258">
        <f t="shared" si="49"/>
        <v>11582</v>
      </c>
      <c r="W82" s="258">
        <f>_xlfn.IFNA(VLOOKUP(A82,'2025-26 Budget Share'!$A$5:$W$62,21,FALSE),0)</f>
        <v>11220</v>
      </c>
      <c r="X82" s="259">
        <f t="shared" si="6"/>
        <v>362</v>
      </c>
      <c r="Y82" s="446">
        <f>_xlfn.XLOOKUP(A82,Data!$D$87:$D$164,Data!$F$87:$F$164)*'Budget Shares'!E82</f>
        <v>4695.08</v>
      </c>
      <c r="Z82" s="163"/>
      <c r="AA82" s="163">
        <f t="shared" si="50"/>
        <v>0</v>
      </c>
      <c r="AB82" s="163"/>
      <c r="AC82" s="102"/>
      <c r="AD82" s="102"/>
      <c r="AE82" s="102"/>
      <c r="AF82" s="102"/>
      <c r="AG82" s="102"/>
      <c r="AH82" s="102"/>
      <c r="AI82" s="102"/>
      <c r="AJ82" s="102"/>
      <c r="AK82" s="102"/>
      <c r="AL82" s="102"/>
      <c r="AM82" s="102"/>
      <c r="AN82" s="102"/>
      <c r="AO82" s="102"/>
    </row>
    <row r="83" spans="1:41" ht="15.75" thickBot="1">
      <c r="A83" s="102"/>
      <c r="B83" s="179"/>
      <c r="C83" s="102"/>
      <c r="D83" s="180"/>
      <c r="E83" s="180"/>
      <c r="F83" s="180"/>
      <c r="G83" s="180"/>
      <c r="H83" s="180"/>
      <c r="I83" s="180"/>
      <c r="J83" s="180"/>
      <c r="K83"/>
      <c r="L83" s="102"/>
      <c r="M83" s="102"/>
      <c r="N83" s="102"/>
      <c r="O83" s="102"/>
      <c r="P83" s="102"/>
      <c r="Q83" s="181"/>
      <c r="R83" s="43">
        <f>SUM(R5:R82)</f>
        <v>6866919.5133333346</v>
      </c>
      <c r="S83" s="42"/>
      <c r="T83" s="260">
        <f t="shared" ref="T83:Y83" si="59">SUM(T5:T82)</f>
        <v>5240654.6366666658</v>
      </c>
      <c r="U83" s="261">
        <f t="shared" si="59"/>
        <v>1626264.8766666665</v>
      </c>
      <c r="V83" s="261">
        <f t="shared" si="59"/>
        <v>623356.71781529044</v>
      </c>
      <c r="W83" s="261">
        <f t="shared" si="59"/>
        <v>465847.6045230006</v>
      </c>
      <c r="X83" s="262">
        <f t="shared" si="59"/>
        <v>157509.11329228981</v>
      </c>
      <c r="Y83" s="468">
        <f t="shared" si="59"/>
        <v>330462.51999999984</v>
      </c>
      <c r="Z83" s="163"/>
      <c r="AA83" s="163"/>
      <c r="AB83" s="163"/>
      <c r="AC83" s="102"/>
      <c r="AD83" s="102"/>
      <c r="AE83" s="102"/>
      <c r="AF83" s="102"/>
      <c r="AG83" s="102"/>
      <c r="AH83" s="102"/>
      <c r="AI83" s="102"/>
      <c r="AJ83" s="102"/>
      <c r="AK83" s="102"/>
      <c r="AL83" s="102"/>
      <c r="AM83" s="102"/>
      <c r="AN83" s="102"/>
      <c r="AO83" s="102"/>
    </row>
    <row r="84" spans="1:41" ht="15.75" thickBot="1">
      <c r="A84" s="102"/>
      <c r="B84" s="179"/>
      <c r="C84" s="102"/>
      <c r="D84" s="180"/>
      <c r="E84" s="180"/>
      <c r="F84" s="33" t="s">
        <v>114</v>
      </c>
      <c r="G84" s="51" t="s">
        <v>90</v>
      </c>
      <c r="H84" s="180"/>
      <c r="I84" s="180"/>
      <c r="J84" s="180"/>
      <c r="K84"/>
      <c r="L84" s="102"/>
      <c r="M84" s="102"/>
      <c r="N84" s="102"/>
      <c r="O84" s="102"/>
      <c r="P84" s="102"/>
      <c r="Q84" s="102"/>
      <c r="R84" s="102"/>
      <c r="S84" s="102"/>
      <c r="T84" s="102"/>
      <c r="U84" s="102"/>
      <c r="V84" s="163"/>
      <c r="W84" s="163"/>
      <c r="X84" s="182"/>
      <c r="Y84" s="163"/>
      <c r="Z84" s="163"/>
      <c r="AA84" s="163"/>
      <c r="AB84" s="163"/>
      <c r="AC84" s="102" t="s">
        <v>182</v>
      </c>
      <c r="AD84" s="102">
        <f t="shared" ref="AD84:AL84" si="60">SUBTOTAL(9,AD5:AD83)</f>
        <v>100.66666666666666</v>
      </c>
      <c r="AE84" s="151">
        <f t="shared" si="60"/>
        <v>604000</v>
      </c>
      <c r="AF84" s="151">
        <f t="shared" si="60"/>
        <v>402666.66666666663</v>
      </c>
      <c r="AG84" s="151">
        <f t="shared" si="60"/>
        <v>1254678.6666666665</v>
      </c>
      <c r="AH84" s="151">
        <f t="shared" si="60"/>
        <v>0</v>
      </c>
      <c r="AI84" s="151" t="e">
        <f t="shared" si="60"/>
        <v>#REF!</v>
      </c>
      <c r="AJ84" s="151">
        <f t="shared" si="60"/>
        <v>22448.13</v>
      </c>
      <c r="AK84" s="151">
        <f t="shared" si="60"/>
        <v>48191.990000000005</v>
      </c>
      <c r="AL84" s="151" t="e">
        <f t="shared" si="60"/>
        <v>#REF!</v>
      </c>
      <c r="AM84" s="151" t="e">
        <f>AL84/AD84</f>
        <v>#REF!</v>
      </c>
      <c r="AN84" s="151">
        <f>SUBTOTAL(9,AN5:AN83)</f>
        <v>-607471.18000000017</v>
      </c>
      <c r="AO84" s="151">
        <f t="shared" ref="AO84" si="61">SUBTOTAL(9,AO5:AO83)</f>
        <v>-77314.930000000168</v>
      </c>
    </row>
    <row r="85" spans="1:41" ht="15">
      <c r="A85" s="102"/>
      <c r="B85" s="102"/>
      <c r="C85" s="102"/>
      <c r="D85" s="102"/>
      <c r="E85" s="102"/>
      <c r="F85" s="153" t="s">
        <v>130</v>
      </c>
      <c r="G85" s="153"/>
      <c r="H85" s="102"/>
      <c r="I85" s="102"/>
      <c r="J85" s="102"/>
      <c r="K85"/>
      <c r="L85" s="102"/>
      <c r="M85" s="102"/>
      <c r="N85" s="102"/>
      <c r="O85" s="102"/>
      <c r="P85"/>
      <c r="Q85"/>
      <c r="R85"/>
      <c r="S85"/>
      <c r="T85"/>
      <c r="U85"/>
      <c r="V85"/>
      <c r="W85" s="163"/>
      <c r="X85" s="182"/>
      <c r="Y85" s="163"/>
      <c r="Z85" s="163"/>
      <c r="AA85" s="163"/>
      <c r="AB85" s="163"/>
      <c r="AC85" s="102"/>
      <c r="AD85" s="102"/>
      <c r="AE85" s="102"/>
      <c r="AF85" s="102"/>
      <c r="AG85" s="102"/>
      <c r="AH85" s="102"/>
      <c r="AI85" s="102"/>
      <c r="AJ85" s="102"/>
      <c r="AK85" s="102"/>
      <c r="AL85" s="102"/>
      <c r="AM85" s="102"/>
      <c r="AN85" s="102"/>
      <c r="AO85" s="102"/>
    </row>
    <row r="86" spans="1:41" ht="15.75" thickBot="1">
      <c r="A86" s="102"/>
      <c r="B86" s="102"/>
      <c r="C86" s="102"/>
      <c r="D86" s="102"/>
      <c r="E86"/>
      <c r="F86"/>
      <c r="G86" t="s">
        <v>130</v>
      </c>
      <c r="H86"/>
      <c r="I86"/>
      <c r="J86"/>
      <c r="K86"/>
      <c r="L86"/>
      <c r="M86"/>
      <c r="N86"/>
      <c r="O86" s="102"/>
      <c r="P86"/>
      <c r="Q86"/>
      <c r="R86"/>
      <c r="S86"/>
      <c r="T86" t="s">
        <v>183</v>
      </c>
      <c r="U86"/>
      <c r="V86"/>
      <c r="W86" s="102"/>
      <c r="X86" s="102"/>
      <c r="Y86" s="163"/>
      <c r="Z86" s="102"/>
      <c r="AA86" s="163"/>
      <c r="AB86" s="163"/>
      <c r="AC86" s="102"/>
      <c r="AD86" s="102"/>
      <c r="AE86" s="102"/>
      <c r="AF86" s="102"/>
      <c r="AG86" s="102"/>
      <c r="AH86" s="102"/>
      <c r="AI86" s="102"/>
      <c r="AJ86" s="102"/>
      <c r="AK86" s="102"/>
      <c r="AL86" s="102"/>
      <c r="AM86" s="102"/>
      <c r="AN86" s="102"/>
      <c r="AO86" s="102"/>
    </row>
    <row r="87" spans="1:41" ht="16.5" thickBot="1">
      <c r="A87" s="102"/>
      <c r="B87" s="102"/>
      <c r="C87" s="102"/>
      <c r="D87" s="102"/>
      <c r="E87"/>
      <c r="F87"/>
      <c r="G87"/>
      <c r="H87"/>
      <c r="I87"/>
      <c r="J87"/>
      <c r="K87"/>
      <c r="L87"/>
      <c r="M87"/>
      <c r="N87"/>
      <c r="O87" s="102"/>
      <c r="P87"/>
      <c r="Q87"/>
      <c r="R87"/>
      <c r="S87"/>
      <c r="T87" s="434">
        <f>(place+Values!$D$28+legacy)+(R83+Y83)/SUM(E5:E82)</f>
        <v>19647.98044376996</v>
      </c>
      <c r="U87"/>
      <c r="V87"/>
      <c r="W87" s="102"/>
      <c r="X87" s="102"/>
      <c r="Y87" s="163"/>
      <c r="Z87" s="102"/>
      <c r="AA87" s="163"/>
      <c r="AB87" s="163"/>
      <c r="AC87" s="102"/>
      <c r="AD87" s="102"/>
      <c r="AE87" s="102"/>
      <c r="AF87" s="102"/>
      <c r="AG87" s="102"/>
      <c r="AH87" s="102"/>
      <c r="AI87" s="102"/>
      <c r="AJ87" s="102"/>
      <c r="AK87" s="102"/>
      <c r="AL87" s="102"/>
      <c r="AM87" s="102"/>
      <c r="AN87" s="102"/>
      <c r="AO87" s="102"/>
    </row>
    <row r="88" spans="1:41" ht="15.75" thickBot="1">
      <c r="A88" s="102"/>
      <c r="B88" s="102"/>
      <c r="C88" s="102"/>
      <c r="D88" s="102"/>
      <c r="E88"/>
      <c r="F88"/>
      <c r="G88"/>
      <c r="H88"/>
      <c r="I88"/>
      <c r="J88"/>
      <c r="K88"/>
      <c r="L88"/>
      <c r="M88"/>
      <c r="N88"/>
      <c r="O88" s="102"/>
      <c r="P88"/>
      <c r="Q88"/>
      <c r="R88"/>
      <c r="S88"/>
      <c r="T88"/>
      <c r="U88"/>
      <c r="V88"/>
      <c r="W88" s="102"/>
      <c r="X88" s="102"/>
      <c r="Y88" s="102"/>
      <c r="Z88" s="102"/>
      <c r="AA88" s="102"/>
      <c r="AB88" s="102"/>
      <c r="AC88" s="102"/>
      <c r="AD88" s="102"/>
      <c r="AE88" s="102"/>
      <c r="AF88" s="102"/>
      <c r="AG88" s="102"/>
      <c r="AH88" s="102"/>
      <c r="AI88" s="102"/>
      <c r="AJ88" s="102"/>
      <c r="AK88" s="102"/>
      <c r="AL88" s="102"/>
      <c r="AM88" s="102"/>
      <c r="AN88" s="102"/>
      <c r="AO88" s="102"/>
    </row>
    <row r="89" spans="1:41" ht="19.5" customHeight="1">
      <c r="A89" s="102"/>
      <c r="B89" s="102"/>
      <c r="C89" s="102"/>
      <c r="D89" s="102"/>
      <c r="E89"/>
      <c r="F89"/>
      <c r="G89"/>
      <c r="H89"/>
      <c r="I89"/>
      <c r="J89"/>
      <c r="K89"/>
      <c r="L89"/>
      <c r="M89"/>
      <c r="N89"/>
      <c r="O89" s="102"/>
      <c r="P89" s="437" t="s">
        <v>184</v>
      </c>
      <c r="Q89" s="439"/>
      <c r="R89" s="440"/>
      <c r="S89"/>
      <c r="T89"/>
      <c r="U89"/>
      <c r="V89"/>
      <c r="W89" s="54"/>
      <c r="X89" s="102"/>
      <c r="Y89" s="102"/>
      <c r="Z89" s="102"/>
      <c r="AA89" s="102"/>
      <c r="AB89" s="102"/>
      <c r="AC89" s="102"/>
      <c r="AD89" s="102"/>
      <c r="AE89" s="102"/>
      <c r="AF89" s="102"/>
      <c r="AG89" s="102"/>
      <c r="AH89" s="102"/>
      <c r="AI89" s="102"/>
      <c r="AJ89" s="102"/>
      <c r="AK89" s="102"/>
      <c r="AL89" s="102"/>
      <c r="AM89" s="102"/>
      <c r="AN89" s="102"/>
      <c r="AO89" s="102"/>
    </row>
    <row r="90" spans="1:41" ht="15">
      <c r="A90" s="102"/>
      <c r="B90" s="102"/>
      <c r="C90" s="102"/>
      <c r="D90" s="102"/>
      <c r="E90"/>
      <c r="F90"/>
      <c r="G90"/>
      <c r="H90"/>
      <c r="I90"/>
      <c r="J90"/>
      <c r="K90"/>
      <c r="L90"/>
      <c r="M90"/>
      <c r="N90"/>
      <c r="O90" s="102"/>
      <c r="P90" s="438"/>
      <c r="Q90" s="436"/>
      <c r="R90" s="441"/>
      <c r="S90"/>
      <c r="T90"/>
      <c r="U90"/>
      <c r="V90"/>
      <c r="W90" s="102"/>
      <c r="X90" s="102"/>
      <c r="Y90" s="102"/>
      <c r="Z90" s="102"/>
      <c r="AA90" s="102"/>
      <c r="AB90" s="102"/>
      <c r="AC90" s="102"/>
      <c r="AD90" s="102"/>
      <c r="AE90" s="102"/>
      <c r="AF90" s="102"/>
      <c r="AG90" s="102"/>
      <c r="AH90" s="102"/>
      <c r="AI90" s="102"/>
      <c r="AJ90" s="102"/>
      <c r="AK90" s="102"/>
      <c r="AL90" s="102"/>
      <c r="AM90" s="102"/>
      <c r="AN90" s="102"/>
      <c r="AO90" s="102"/>
    </row>
    <row r="91" spans="1:41" s="29" customFormat="1" ht="17.25" customHeight="1">
      <c r="A91" s="180"/>
      <c r="B91" s="179"/>
      <c r="C91" s="180"/>
      <c r="D91" s="180"/>
      <c r="E91" s="76"/>
      <c r="F91" s="76"/>
      <c r="G91" s="76"/>
      <c r="H91" s="76"/>
      <c r="I91" s="76"/>
      <c r="J91" s="76"/>
      <c r="K91" s="76"/>
      <c r="L91" s="76"/>
      <c r="M91" s="76"/>
      <c r="N91" s="76"/>
      <c r="O91" s="180"/>
      <c r="P91" s="438" t="s">
        <v>185</v>
      </c>
      <c r="Q91" s="435"/>
      <c r="R91" s="441"/>
      <c r="S91"/>
      <c r="T91"/>
      <c r="U91"/>
      <c r="V91"/>
      <c r="W91" s="180"/>
      <c r="X91" s="180"/>
      <c r="Y91" s="180"/>
      <c r="Z91" s="180"/>
      <c r="AA91" s="180"/>
      <c r="AB91" s="180"/>
      <c r="AC91" s="180"/>
      <c r="AD91" s="180"/>
      <c r="AE91" s="180"/>
      <c r="AF91" s="180"/>
      <c r="AG91" s="180"/>
      <c r="AH91" s="180"/>
      <c r="AI91" s="180"/>
      <c r="AJ91" s="180"/>
      <c r="AK91" s="180"/>
      <c r="AL91" s="180"/>
      <c r="AM91" s="180"/>
      <c r="AN91" s="180"/>
      <c r="AO91" s="180"/>
    </row>
    <row r="92" spans="1:41" s="29" customFormat="1" ht="15">
      <c r="A92" s="180"/>
      <c r="B92" s="179"/>
      <c r="C92" s="180"/>
      <c r="D92" s="180"/>
      <c r="E92" s="76"/>
      <c r="F92" s="76"/>
      <c r="G92" s="76"/>
      <c r="H92" s="76"/>
      <c r="I92" s="79" t="s">
        <v>185</v>
      </c>
      <c r="J92" s="77">
        <f>SUMIF(D5:D82,"Pri",J5:J82)/4000</f>
        <v>70.426666666666662</v>
      </c>
      <c r="K92" s="77"/>
      <c r="L92" s="76"/>
      <c r="M92" s="76"/>
      <c r="N92" s="76"/>
      <c r="O92" s="180"/>
      <c r="P92" s="438" t="s">
        <v>186</v>
      </c>
      <c r="Q92" s="435">
        <v>2589339</v>
      </c>
      <c r="R92" s="444">
        <f>Q92/Q94</f>
        <v>1</v>
      </c>
      <c r="S92"/>
      <c r="T92"/>
      <c r="U92"/>
      <c r="V92"/>
      <c r="W92" s="180"/>
      <c r="X92" s="180"/>
      <c r="Y92" s="180"/>
      <c r="Z92" s="180"/>
      <c r="AA92" s="180"/>
      <c r="AB92" s="180"/>
      <c r="AC92" s="180"/>
      <c r="AD92" s="180"/>
      <c r="AE92" s="180"/>
      <c r="AF92" s="180"/>
      <c r="AG92" s="180"/>
      <c r="AH92" s="180"/>
      <c r="AI92" s="180"/>
      <c r="AJ92" s="180"/>
      <c r="AK92" s="180"/>
      <c r="AL92" s="180"/>
      <c r="AM92" s="180"/>
      <c r="AN92" s="180"/>
      <c r="AO92" s="180"/>
    </row>
    <row r="93" spans="1:41" ht="15">
      <c r="A93" s="102"/>
      <c r="B93" s="102"/>
      <c r="C93" s="102"/>
      <c r="D93" s="102"/>
      <c r="E93" s="102"/>
      <c r="F93" s="102"/>
      <c r="G93" s="102"/>
      <c r="H93" s="102"/>
      <c r="I93" s="78" t="s">
        <v>187</v>
      </c>
      <c r="J93" s="77">
        <f>SUMIF(D5:D82,"sec",J5:J82)/4000</f>
        <v>73.746666666666655</v>
      </c>
      <c r="K93" s="77"/>
      <c r="L93" s="102"/>
      <c r="M93" s="102"/>
      <c r="N93" s="102"/>
      <c r="O93" s="102"/>
      <c r="P93" s="438" t="s">
        <v>188</v>
      </c>
      <c r="Q93" s="435">
        <v>0</v>
      </c>
      <c r="R93" s="444">
        <f>Q93/Q94</f>
        <v>0</v>
      </c>
      <c r="S93"/>
      <c r="T93"/>
      <c r="U93"/>
      <c r="V93"/>
      <c r="W93" s="102"/>
      <c r="X93" s="102"/>
      <c r="Y93" s="102"/>
      <c r="Z93" s="102"/>
      <c r="AA93" s="102"/>
      <c r="AB93" s="102"/>
      <c r="AC93" s="102"/>
      <c r="AD93" s="102"/>
      <c r="AE93" s="102"/>
      <c r="AF93" s="102"/>
      <c r="AG93" s="102"/>
      <c r="AH93" s="102"/>
      <c r="AI93" s="102"/>
      <c r="AJ93" s="102"/>
      <c r="AK93" s="102"/>
      <c r="AL93" s="102"/>
      <c r="AM93" s="102"/>
      <c r="AN93" s="102"/>
      <c r="AO93" s="102"/>
    </row>
    <row r="94" spans="1:41" ht="15">
      <c r="A94" s="102"/>
      <c r="B94" s="102"/>
      <c r="C94" s="102"/>
      <c r="D94" s="401"/>
      <c r="E94" s="102"/>
      <c r="F94" s="102"/>
      <c r="G94" s="102"/>
      <c r="H94" s="102"/>
      <c r="I94" s="151"/>
      <c r="J94" s="151"/>
      <c r="K94" s="151"/>
      <c r="L94" s="102"/>
      <c r="M94" s="102"/>
      <c r="N94" s="102"/>
      <c r="O94" s="102"/>
      <c r="P94" s="438"/>
      <c r="Q94" s="435">
        <f>SUBTOTAL(9,Q92:Q93)</f>
        <v>2589339</v>
      </c>
      <c r="R94" s="444"/>
      <c r="S94"/>
      <c r="T94"/>
      <c r="U94"/>
      <c r="V94"/>
      <c r="W94" s="102"/>
      <c r="X94" s="102"/>
      <c r="Y94" s="102"/>
      <c r="Z94" s="102"/>
      <c r="AA94" s="102"/>
      <c r="AB94" s="102"/>
      <c r="AC94" s="102"/>
      <c r="AD94" s="102"/>
      <c r="AE94" s="102"/>
      <c r="AF94" s="102"/>
      <c r="AG94" s="102"/>
      <c r="AH94" s="102"/>
      <c r="AI94" s="102"/>
      <c r="AJ94" s="102"/>
      <c r="AK94" s="102"/>
      <c r="AL94" s="102"/>
      <c r="AM94" s="102"/>
      <c r="AN94" s="102"/>
      <c r="AO94" s="102"/>
    </row>
    <row r="95" spans="1:41" ht="15">
      <c r="A95" s="102"/>
      <c r="B95" s="102"/>
      <c r="C95" s="102"/>
      <c r="D95" s="102"/>
      <c r="E95" s="102"/>
      <c r="F95" s="102"/>
      <c r="G95" s="102"/>
      <c r="H95" s="102"/>
      <c r="I95" s="151"/>
      <c r="J95" s="151"/>
      <c r="K95" s="151"/>
      <c r="L95" s="102"/>
      <c r="M95" s="102"/>
      <c r="N95" s="102"/>
      <c r="O95" s="102"/>
      <c r="P95" s="438" t="s">
        <v>189</v>
      </c>
      <c r="Q95" s="435"/>
      <c r="R95" s="444"/>
      <c r="S95" s="102"/>
      <c r="T95" s="102"/>
      <c r="U95" s="102"/>
      <c r="V95" s="102"/>
      <c r="W95" s="102"/>
      <c r="X95" s="102"/>
      <c r="Y95" s="102"/>
      <c r="Z95" s="102"/>
      <c r="AA95" s="102"/>
      <c r="AB95" s="102"/>
      <c r="AC95" s="102"/>
      <c r="AD95" s="102"/>
      <c r="AE95" s="102"/>
      <c r="AF95" s="102"/>
      <c r="AG95" s="102"/>
      <c r="AH95" s="102"/>
      <c r="AI95" s="102"/>
      <c r="AJ95" s="102"/>
      <c r="AK95" s="102"/>
      <c r="AL95" s="102"/>
      <c r="AM95" s="102"/>
      <c r="AN95" s="102"/>
      <c r="AO95" s="102"/>
    </row>
    <row r="96" spans="1:41" ht="15">
      <c r="A96" s="102"/>
      <c r="B96" s="102"/>
      <c r="C96" s="102"/>
      <c r="D96" s="102"/>
      <c r="E96" s="102"/>
      <c r="F96" s="102"/>
      <c r="G96" s="102"/>
      <c r="H96" s="102"/>
      <c r="I96" s="151"/>
      <c r="J96" s="151"/>
      <c r="K96" s="151"/>
      <c r="L96" s="102"/>
      <c r="M96" s="102"/>
      <c r="N96" s="102"/>
      <c r="O96" s="102"/>
      <c r="P96" s="438" t="s">
        <v>186</v>
      </c>
      <c r="Q96" s="435">
        <v>1029476</v>
      </c>
      <c r="R96" s="444">
        <f>Q96/Q98</f>
        <v>0.56679313137519494</v>
      </c>
      <c r="S96"/>
      <c r="T96"/>
      <c r="U96"/>
      <c r="V96"/>
      <c r="W96"/>
      <c r="X96"/>
      <c r="Y96"/>
      <c r="Z96"/>
      <c r="AA96" s="102"/>
      <c r="AB96" s="102"/>
      <c r="AC96" s="102"/>
      <c r="AD96" s="102"/>
      <c r="AE96" s="102"/>
      <c r="AF96" s="102"/>
      <c r="AG96" s="102"/>
      <c r="AH96" s="102"/>
      <c r="AI96" s="102"/>
      <c r="AJ96" s="102"/>
      <c r="AK96" s="102"/>
      <c r="AL96" s="102"/>
      <c r="AM96" s="102"/>
      <c r="AN96" s="102"/>
      <c r="AO96" s="102"/>
    </row>
    <row r="97" spans="16:18" ht="15">
      <c r="P97" s="438" t="s">
        <v>188</v>
      </c>
      <c r="Q97" s="435">
        <v>786841</v>
      </c>
      <c r="R97" s="444">
        <f>Q97/Q98</f>
        <v>0.43320686862480501</v>
      </c>
    </row>
    <row r="98" spans="16:18" ht="15" thickBot="1">
      <c r="P98" s="442"/>
      <c r="Q98" s="443">
        <f>SUBTOTAL(9,Q96:Q97)</f>
        <v>1816317</v>
      </c>
      <c r="R98" s="445"/>
    </row>
  </sheetData>
  <autoFilter ref="A4:AP86" xr:uid="{00000000-0001-0000-0200-000000000000}"/>
  <conditionalFormatting sqref="U5:X82">
    <cfRule type="cellIs" dxfId="15" priority="1" operator="lessThan">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filterMode="1"/>
  <dimension ref="A1:AD164"/>
  <sheetViews>
    <sheetView zoomScale="85" zoomScaleNormal="85" workbookViewId="0">
      <pane xSplit="2" ySplit="3" topLeftCell="C13" activePane="bottomRight" state="frozen"/>
      <selection activeCell="E53" sqref="E53"/>
      <selection pane="topRight" activeCell="E53" sqref="E53"/>
      <selection pane="bottomLeft" activeCell="E53" sqref="E53"/>
      <selection pane="bottomRight" activeCell="E53" sqref="E53"/>
    </sheetView>
  </sheetViews>
  <sheetFormatPr defaultColWidth="9.140625" defaultRowHeight="15"/>
  <cols>
    <col min="1" max="1" width="10.42578125" style="35" bestFit="1" customWidth="1"/>
    <col min="2" max="2" width="44.42578125" style="35" bestFit="1" customWidth="1"/>
    <col min="3" max="3" width="14.5703125" style="35" customWidth="1"/>
    <col min="4" max="4" width="12.140625" style="35" customWidth="1"/>
    <col min="5" max="5" width="17.5703125" style="35" customWidth="1"/>
    <col min="6" max="11" width="11.5703125" style="35" customWidth="1"/>
    <col min="12" max="14" width="13.85546875" style="35" customWidth="1"/>
    <col min="15" max="15" width="7.140625" style="35" customWidth="1"/>
    <col min="16" max="16" width="9.85546875" style="35" hidden="1" customWidth="1"/>
    <col min="17" max="19" width="9.140625" style="35"/>
    <col min="20" max="20" width="9.140625" style="35" hidden="1" customWidth="1"/>
    <col min="21" max="23" width="9.140625" style="35"/>
    <col min="24" max="24" width="9.140625" style="35" customWidth="1"/>
    <col min="25" max="25" width="10.85546875" style="35" customWidth="1"/>
    <col min="26" max="26" width="9.140625" style="35" hidden="1" customWidth="1"/>
    <col min="27" max="30" width="9.140625" style="35" customWidth="1"/>
    <col min="31" max="16384" width="9.140625" style="35"/>
  </cols>
  <sheetData>
    <row r="1" spans="1:30" ht="15.75" thickBot="1">
      <c r="A1" s="34">
        <v>1</v>
      </c>
      <c r="B1" s="34">
        <v>2</v>
      </c>
      <c r="C1" s="34">
        <v>3</v>
      </c>
      <c r="D1" s="34">
        <v>4</v>
      </c>
      <c r="E1" s="34">
        <v>5</v>
      </c>
      <c r="F1" s="34">
        <v>6</v>
      </c>
      <c r="G1" s="34">
        <v>7</v>
      </c>
      <c r="H1" s="34">
        <v>8</v>
      </c>
      <c r="I1" s="34">
        <v>9</v>
      </c>
      <c r="J1" s="34">
        <v>10</v>
      </c>
      <c r="K1" s="34">
        <v>11</v>
      </c>
      <c r="L1" s="34">
        <v>12</v>
      </c>
      <c r="M1" s="34">
        <v>13</v>
      </c>
      <c r="N1" s="34">
        <v>14</v>
      </c>
      <c r="O1" s="34">
        <v>15</v>
      </c>
      <c r="P1" s="34">
        <v>16</v>
      </c>
      <c r="Q1" s="34">
        <v>17</v>
      </c>
      <c r="R1" s="34">
        <v>18</v>
      </c>
      <c r="S1" s="34">
        <v>19</v>
      </c>
      <c r="T1" s="34">
        <v>20</v>
      </c>
      <c r="U1" s="34">
        <v>21</v>
      </c>
      <c r="V1" s="34">
        <v>22</v>
      </c>
      <c r="W1" s="34">
        <v>23</v>
      </c>
      <c r="X1" s="34">
        <v>24</v>
      </c>
      <c r="Y1" s="34">
        <v>25</v>
      </c>
      <c r="Z1" s="34">
        <v>26</v>
      </c>
      <c r="AA1" s="34">
        <v>27</v>
      </c>
      <c r="AB1" s="34">
        <v>28</v>
      </c>
      <c r="AC1" s="34">
        <v>29</v>
      </c>
      <c r="AD1" s="34">
        <v>30</v>
      </c>
    </row>
    <row r="2" spans="1:30" ht="33.75" customHeight="1" thickBot="1">
      <c r="L2" s="640" t="s">
        <v>190</v>
      </c>
      <c r="M2" s="641"/>
      <c r="N2" s="642"/>
      <c r="Q2" s="643" t="s">
        <v>191</v>
      </c>
      <c r="R2" s="643"/>
      <c r="S2" s="643"/>
      <c r="T2" s="35" t="s">
        <v>75</v>
      </c>
      <c r="U2" s="35" t="s">
        <v>75</v>
      </c>
      <c r="Y2" s="35" t="s">
        <v>76</v>
      </c>
    </row>
    <row r="3" spans="1:30" s="37" customFormat="1" ht="75.75" thickBot="1">
      <c r="A3" s="36"/>
      <c r="B3" s="183"/>
      <c r="C3" s="61" t="s">
        <v>192</v>
      </c>
      <c r="D3" s="65" t="s">
        <v>193</v>
      </c>
      <c r="E3" s="66" t="s">
        <v>194</v>
      </c>
      <c r="F3" s="67" t="s">
        <v>195</v>
      </c>
      <c r="G3" s="67" t="s">
        <v>196</v>
      </c>
      <c r="H3" s="289" t="s">
        <v>197</v>
      </c>
      <c r="I3" s="70" t="s">
        <v>69</v>
      </c>
      <c r="J3" s="71" t="s">
        <v>198</v>
      </c>
      <c r="K3" s="72" t="s">
        <v>199</v>
      </c>
      <c r="L3" s="62" t="s">
        <v>200</v>
      </c>
      <c r="M3" s="63" t="s">
        <v>201</v>
      </c>
      <c r="N3" s="64" t="s">
        <v>202</v>
      </c>
      <c r="P3" s="371" t="s">
        <v>203</v>
      </c>
      <c r="Q3" s="298" t="s">
        <v>204</v>
      </c>
      <c r="R3" s="298" t="s">
        <v>205</v>
      </c>
      <c r="S3" s="299" t="s">
        <v>206</v>
      </c>
      <c r="T3" s="297" t="s">
        <v>207</v>
      </c>
      <c r="U3" s="298" t="s">
        <v>208</v>
      </c>
      <c r="V3" s="298" t="s">
        <v>209</v>
      </c>
      <c r="W3" s="298" t="s">
        <v>210</v>
      </c>
      <c r="X3" s="299" t="s">
        <v>211</v>
      </c>
      <c r="Y3" s="372" t="s">
        <v>204</v>
      </c>
      <c r="Z3" s="298" t="s">
        <v>207</v>
      </c>
      <c r="AA3" s="298" t="s">
        <v>208</v>
      </c>
      <c r="AB3" s="298" t="s">
        <v>209</v>
      </c>
      <c r="AC3" s="298" t="s">
        <v>210</v>
      </c>
      <c r="AD3" s="298" t="s">
        <v>211</v>
      </c>
    </row>
    <row r="4" spans="1:30" hidden="1">
      <c r="A4" s="185">
        <v>8502005</v>
      </c>
      <c r="B4" s="185" t="s">
        <v>0</v>
      </c>
      <c r="C4" s="105">
        <f>SUMIFS(APN!$I$3:$I$97,APN!$A$3:$A$97,RIGHT(A4,4))</f>
        <v>32</v>
      </c>
      <c r="D4" s="184">
        <f>SUMIFS(APN!$J$3:$J$97,APN!$A$3:$A$97,RIGHT(A4,4))</f>
        <v>32</v>
      </c>
      <c r="E4" s="106">
        <f>SUM(C4/12*5)+(D4/12*7)</f>
        <v>31.999999999999996</v>
      </c>
      <c r="F4" s="107">
        <f>SUMIFS(APN!$L$3:$L$97,APN!$A$3:$A$97,RIGHT(Data!A4,4)*1,APN!$H$3:$H$97,Data!J4)</f>
        <v>0</v>
      </c>
      <c r="G4" s="533">
        <f>APN!L5</f>
        <v>15</v>
      </c>
      <c r="H4" s="534">
        <f>E4-SUM(F4:G4)</f>
        <v>16.999999999999996</v>
      </c>
      <c r="I4" s="216" t="s">
        <v>212</v>
      </c>
      <c r="J4" s="68" t="s">
        <v>213</v>
      </c>
      <c r="K4" s="69"/>
      <c r="L4" s="451">
        <f>IFERROR(VLOOKUP(RIGHT($A4,4)*1,'Autumn term 2025'!$AA$6:$AM$54,12,FALSE),0)</f>
        <v>32</v>
      </c>
      <c r="M4" s="452">
        <f>IFERROR(VLOOKUP(RIGHT($A4,4)*1,'Autumn term 2025'!$U$6:$X$16,3,FALSE),0)</f>
        <v>0</v>
      </c>
      <c r="N4" s="453">
        <f>IFERROR(VLOOKUP(RIGHT($A4,4)*1,'Autumn term 2025'!$U$6:$X$16,2,FALSE),0)</f>
        <v>0</v>
      </c>
      <c r="O4" s="38"/>
      <c r="P4" s="373"/>
      <c r="Q4" s="464" t="s">
        <v>141</v>
      </c>
      <c r="R4" s="301">
        <f t="shared" ref="R4:R81" si="0">IFERROR(ROUND((M4/$L4)*$E4,2),0)</f>
        <v>0</v>
      </c>
      <c r="S4" s="302">
        <f t="shared" ref="S4:S81" si="1">IFERROR(ROUND((N4/$L4)*$E4,2),0)</f>
        <v>0</v>
      </c>
      <c r="T4" s="300"/>
      <c r="U4" s="301">
        <f>G4</f>
        <v>15</v>
      </c>
      <c r="V4" s="301"/>
      <c r="W4" s="301"/>
      <c r="X4" s="302"/>
      <c r="Y4" s="532" t="s">
        <v>142</v>
      </c>
      <c r="Z4" s="301"/>
      <c r="AA4" s="301"/>
      <c r="AB4" s="301"/>
      <c r="AC4" s="301"/>
      <c r="AD4" s="301">
        <f>H4</f>
        <v>16.999999999999996</v>
      </c>
    </row>
    <row r="5" spans="1:30" hidden="1">
      <c r="A5" s="138">
        <v>8502011</v>
      </c>
      <c r="B5" s="138" t="s">
        <v>1</v>
      </c>
      <c r="C5" s="105">
        <f>SUMIFS(APN!$I$3:$I$97,APN!$A$3:$A$97,RIGHT(A5,4))</f>
        <v>6</v>
      </c>
      <c r="D5" s="184">
        <f>SUMIFS(APN!$J$3:$J$97,APN!$A$3:$A$97,RIGHT(A5,4))</f>
        <v>6</v>
      </c>
      <c r="E5" s="108">
        <f t="shared" ref="E5:E81" si="2">SUM(C5/12*5)+(D5/12*7)</f>
        <v>6</v>
      </c>
      <c r="F5" s="107">
        <f>SUMIFS(APN!$L$3:$L$97,APN!$A$3:$A$97,RIGHT(Data!A5,4)*1,APN!$H$3:$H$97,Data!J5)</f>
        <v>6</v>
      </c>
      <c r="G5" s="292">
        <f t="shared" ref="G5:G40" si="3">E5-F5</f>
        <v>0</v>
      </c>
      <c r="H5" s="290">
        <v>0</v>
      </c>
      <c r="I5" s="217" t="s">
        <v>212</v>
      </c>
      <c r="J5" s="376" t="s">
        <v>214</v>
      </c>
      <c r="K5" s="139"/>
      <c r="L5" s="213">
        <f>IFERROR(VLOOKUP(RIGHT($A5,4)*1,'Autumn term 2025'!$AA$6:$AM$54,12,FALSE),0)</f>
        <v>1</v>
      </c>
      <c r="M5" s="454">
        <f>IFERROR(VLOOKUP(RIGHT($A5,4)*1,'Autumn term 2025'!$U$6:$X$16,3,FALSE),0)</f>
        <v>0</v>
      </c>
      <c r="N5" s="455">
        <f>IFERROR(VLOOKUP(RIGHT($A5,4)*1,'Autumn term 2025'!$U$6:$X$16,2,FALSE),0)</f>
        <v>0</v>
      </c>
      <c r="O5" s="38"/>
      <c r="P5" s="373"/>
      <c r="Q5" s="374" t="s">
        <v>214</v>
      </c>
      <c r="R5" s="301">
        <f t="shared" si="0"/>
        <v>0</v>
      </c>
      <c r="S5" s="302">
        <f t="shared" si="1"/>
        <v>0</v>
      </c>
      <c r="T5" s="300"/>
      <c r="U5" s="301"/>
      <c r="V5" s="301"/>
      <c r="W5" s="301"/>
      <c r="X5" s="302"/>
      <c r="Y5" s="375"/>
      <c r="Z5" s="301"/>
      <c r="AA5" s="301"/>
      <c r="AB5" s="301"/>
      <c r="AC5" s="301"/>
      <c r="AD5" s="301"/>
    </row>
    <row r="6" spans="1:30" hidden="1">
      <c r="A6" s="185">
        <v>8502013</v>
      </c>
      <c r="B6" s="185" t="s">
        <v>2</v>
      </c>
      <c r="C6" s="105">
        <f>SUMIFS(APN!$I$3:$I$97,APN!$A$3:$A$97,RIGHT(A6,4))</f>
        <v>28</v>
      </c>
      <c r="D6" s="184">
        <f>SUMIFS(APN!$J$3:$J$97,APN!$A$3:$A$97,RIGHT(A6,4))</f>
        <v>28</v>
      </c>
      <c r="E6" s="108">
        <f t="shared" si="2"/>
        <v>28.000000000000004</v>
      </c>
      <c r="F6" s="107">
        <f>SUMIFS(APN!$L$3:$L$97,APN!$A$3:$A$97,RIGHT(Data!A6,4)*1,APN!$H$3:$H$97,Data!J6)</f>
        <v>16</v>
      </c>
      <c r="G6" s="292">
        <f t="shared" si="3"/>
        <v>12.000000000000004</v>
      </c>
      <c r="H6" s="290">
        <v>0</v>
      </c>
      <c r="I6" s="217" t="s">
        <v>212</v>
      </c>
      <c r="J6" s="376" t="s">
        <v>142</v>
      </c>
      <c r="K6" s="139"/>
      <c r="L6" s="213">
        <f>IFERROR(VLOOKUP(RIGHT($A6,4)*1,'Autumn term 2025'!$AA$6:$AM$54,12,FALSE),0)</f>
        <v>23</v>
      </c>
      <c r="M6" s="454">
        <f>IFERROR(VLOOKUP(RIGHT($A6,4)*1,'Autumn term 2025'!$U$6:$X$16,3,FALSE),0)</f>
        <v>0</v>
      </c>
      <c r="N6" s="455">
        <f>IFERROR(VLOOKUP(RIGHT($A6,4)*1,'Autumn term 2025'!$U$6:$X$16,2,FALSE),0)</f>
        <v>0</v>
      </c>
      <c r="O6" s="38"/>
      <c r="P6" s="373"/>
      <c r="Q6" s="374" t="s">
        <v>143</v>
      </c>
      <c r="R6" s="301">
        <f t="shared" si="0"/>
        <v>0</v>
      </c>
      <c r="S6" s="302">
        <f t="shared" si="1"/>
        <v>0</v>
      </c>
      <c r="T6" s="300"/>
      <c r="U6" s="301"/>
      <c r="V6" s="301">
        <f>G6</f>
        <v>12.000000000000004</v>
      </c>
      <c r="W6" s="301"/>
      <c r="X6" s="302"/>
      <c r="Y6" s="375"/>
      <c r="Z6" s="301"/>
      <c r="AA6" s="301"/>
      <c r="AB6" s="301"/>
      <c r="AC6" s="301"/>
      <c r="AD6" s="301"/>
    </row>
    <row r="7" spans="1:30" hidden="1">
      <c r="A7" s="138">
        <v>8502018</v>
      </c>
      <c r="B7" s="138" t="s">
        <v>3</v>
      </c>
      <c r="C7" s="105">
        <f>SUMIFS(APN!$I$3:$I$97,APN!$A$3:$A$97,RIGHT(A7,4))</f>
        <v>14</v>
      </c>
      <c r="D7" s="184">
        <f>SUMIFS(APN!$J$3:$J$97,APN!$A$3:$A$97,RIGHT(A7,4))</f>
        <v>14</v>
      </c>
      <c r="E7" s="108">
        <f t="shared" si="2"/>
        <v>14.000000000000002</v>
      </c>
      <c r="F7" s="107">
        <f>SUMIFS(APN!$L$3:$L$97,APN!$A$3:$A$97,RIGHT(Data!A7,4)*1,APN!$H$3:$H$97,Data!J7)</f>
        <v>14</v>
      </c>
      <c r="G7" s="292">
        <f t="shared" si="3"/>
        <v>0</v>
      </c>
      <c r="H7" s="290">
        <v>0</v>
      </c>
      <c r="I7" s="217" t="s">
        <v>212</v>
      </c>
      <c r="J7" s="376" t="s">
        <v>142</v>
      </c>
      <c r="K7" s="139"/>
      <c r="L7" s="213">
        <f>IFERROR(VLOOKUP(RIGHT($A7,4)*1,'Autumn term 2025'!$AA$6:$AM$54,12,FALSE),0)</f>
        <v>14</v>
      </c>
      <c r="M7" s="454">
        <f>IFERROR(VLOOKUP(RIGHT($A7,4)*1,'Autumn term 2025'!$U$6:$X$16,3,FALSE),0)</f>
        <v>0</v>
      </c>
      <c r="N7" s="455">
        <f>IFERROR(VLOOKUP(RIGHT($A7,4)*1,'Autumn term 2025'!$U$6:$X$16,2,FALSE),0)</f>
        <v>0</v>
      </c>
      <c r="O7" s="38"/>
      <c r="P7" s="373"/>
      <c r="Q7" s="374"/>
      <c r="R7" s="301">
        <f t="shared" si="0"/>
        <v>0</v>
      </c>
      <c r="S7" s="302">
        <f t="shared" si="1"/>
        <v>0</v>
      </c>
      <c r="T7" s="300"/>
      <c r="U7" s="301"/>
      <c r="V7" s="301"/>
      <c r="W7" s="301"/>
      <c r="X7" s="302"/>
      <c r="Y7" s="375"/>
      <c r="Z7" s="301"/>
      <c r="AA7" s="301"/>
      <c r="AB7" s="301"/>
      <c r="AC7" s="301"/>
      <c r="AD7" s="301"/>
    </row>
    <row r="8" spans="1:30" hidden="1">
      <c r="A8" s="138">
        <v>8502045</v>
      </c>
      <c r="B8" s="138" t="s">
        <v>144</v>
      </c>
      <c r="C8" s="105">
        <f>SUMIFS(APN!$I$3:$I$97,APN!$A$3:$A$97,RIGHT(A8,4))</f>
        <v>6</v>
      </c>
      <c r="D8" s="184">
        <f>SUMIFS(APN!$J$3:$J$97,APN!$A$3:$A$97,RIGHT(A8,4))</f>
        <v>9</v>
      </c>
      <c r="E8" s="108">
        <f t="shared" ref="E8:E9" si="4">SUM(C8/12*5)+(D8/12*7)</f>
        <v>7.75</v>
      </c>
      <c r="F8" s="107">
        <f>SUMIFS(APN!$L$3:$L$97,APN!$A$3:$A$97,RIGHT(Data!A8,4)*1,APN!$H$3:$H$97,Data!J8)</f>
        <v>7.75</v>
      </c>
      <c r="G8" s="292">
        <f t="shared" ref="G8:G9" si="5">E8-F8</f>
        <v>0</v>
      </c>
      <c r="H8" s="290">
        <v>0</v>
      </c>
      <c r="I8" s="217" t="s">
        <v>212</v>
      </c>
      <c r="J8" s="376" t="s">
        <v>130</v>
      </c>
      <c r="K8" s="139">
        <v>1</v>
      </c>
      <c r="L8" s="213">
        <f>IFERROR(VLOOKUP(RIGHT($A8,4)*1,'Autumn term 2025'!$AA$6:$AM$54,12,FALSE),0)</f>
        <v>0</v>
      </c>
      <c r="M8" s="454">
        <f>IFERROR(VLOOKUP(RIGHT($A8,4)*1,'Autumn term 2025'!$U$6:$X$16,3,FALSE),0)</f>
        <v>0</v>
      </c>
      <c r="N8" s="455">
        <f>IFERROR(VLOOKUP(RIGHT($A8,4)*1,'Autumn term 2025'!$U$6:$X$16,2,FALSE),0)</f>
        <v>0</v>
      </c>
      <c r="O8" s="38"/>
      <c r="P8" s="373"/>
      <c r="Q8" s="374"/>
      <c r="R8" s="301">
        <f t="shared" ref="R8:R9" si="6">IFERROR(ROUND((M8/$L8)*$E8,2),0)</f>
        <v>0</v>
      </c>
      <c r="S8" s="302">
        <f t="shared" ref="S8:S9" si="7">IFERROR(ROUND((N8/$L8)*$E8,2),0)</f>
        <v>0</v>
      </c>
      <c r="T8" s="300"/>
      <c r="U8" s="301"/>
      <c r="V8" s="301"/>
      <c r="W8" s="301"/>
      <c r="X8" s="302"/>
      <c r="Y8" s="375"/>
      <c r="Z8" s="301"/>
      <c r="AA8" s="301"/>
      <c r="AB8" s="301"/>
      <c r="AC8" s="301"/>
      <c r="AD8" s="301"/>
    </row>
    <row r="9" spans="1:30" hidden="1">
      <c r="A9" s="138">
        <v>8502049</v>
      </c>
      <c r="B9" s="465" t="s">
        <v>145</v>
      </c>
      <c r="C9" s="105">
        <f>SUMIFS(APN!$I$3:$I$97,APN!$A$3:$A$97,RIGHT(A9,4))</f>
        <v>0</v>
      </c>
      <c r="D9" s="184">
        <f>SUMIFS(APN!$J$3:$J$97,APN!$A$3:$A$97,RIGHT(A9,4))</f>
        <v>0</v>
      </c>
      <c r="E9" s="108">
        <f t="shared" si="4"/>
        <v>0</v>
      </c>
      <c r="F9" s="107">
        <f>SUMIFS(APN!$L$3:$L$97,APN!$A$3:$A$97,RIGHT(Data!A9,4)*1,APN!$H$3:$H$97,Data!J9)</f>
        <v>0</v>
      </c>
      <c r="G9" s="292">
        <f t="shared" si="5"/>
        <v>0</v>
      </c>
      <c r="H9" s="290">
        <v>0</v>
      </c>
      <c r="I9" s="217" t="s">
        <v>212</v>
      </c>
      <c r="J9" s="376" t="s">
        <v>141</v>
      </c>
      <c r="K9" s="139"/>
      <c r="L9" s="213">
        <f>IFERROR(VLOOKUP(RIGHT($A9,4)*1,'Autumn term 2025'!$AA$6:$AM$54,12,FALSE),0)</f>
        <v>0</v>
      </c>
      <c r="M9" s="454">
        <f>IFERROR(VLOOKUP(RIGHT($A9,4)*1,'Autumn term 2025'!$U$6:$X$16,3,FALSE),0)</f>
        <v>0</v>
      </c>
      <c r="N9" s="455">
        <f>IFERROR(VLOOKUP(RIGHT($A9,4)*1,'Autumn term 2025'!$U$6:$X$16,2,FALSE),0)</f>
        <v>0</v>
      </c>
      <c r="O9" s="38"/>
      <c r="P9" s="373"/>
      <c r="Q9" s="374"/>
      <c r="R9" s="301">
        <f t="shared" si="6"/>
        <v>0</v>
      </c>
      <c r="S9" s="302">
        <f t="shared" si="7"/>
        <v>0</v>
      </c>
      <c r="T9" s="300"/>
      <c r="U9" s="301"/>
      <c r="V9" s="301"/>
      <c r="W9" s="301"/>
      <c r="X9" s="302"/>
      <c r="Y9" s="375"/>
      <c r="Z9" s="301"/>
      <c r="AA9" s="301"/>
      <c r="AB9" s="301"/>
      <c r="AC9" s="301"/>
      <c r="AD9" s="301"/>
    </row>
    <row r="10" spans="1:30" hidden="1">
      <c r="A10" s="185">
        <v>8502057</v>
      </c>
      <c r="B10" s="185" t="s">
        <v>5</v>
      </c>
      <c r="C10" s="105">
        <f>SUMIFS(APN!$I$3:$I$97,APN!$A$3:$A$97,RIGHT(A10,4))</f>
        <v>24</v>
      </c>
      <c r="D10" s="184">
        <f>SUMIFS(APN!$J$3:$J$97,APN!$A$3:$A$97,RIGHT(A10,4))</f>
        <v>24</v>
      </c>
      <c r="E10" s="108">
        <f t="shared" si="2"/>
        <v>24</v>
      </c>
      <c r="F10" s="107">
        <f>SUMIFS(APN!$L$3:$L$97,APN!$A$3:$A$97,RIGHT(Data!A10,4)*1,APN!$H$3:$H$97,Data!J10)</f>
        <v>8</v>
      </c>
      <c r="G10" s="292">
        <f t="shared" si="3"/>
        <v>16</v>
      </c>
      <c r="H10" s="290">
        <v>0</v>
      </c>
      <c r="I10" s="217" t="s">
        <v>212</v>
      </c>
      <c r="J10" s="376" t="s">
        <v>130</v>
      </c>
      <c r="K10" s="139"/>
      <c r="L10" s="213">
        <f>IFERROR(VLOOKUP(RIGHT($A10,4)*1,'Autumn term 2025'!$AA$6:$AM$54,12,FALSE),0)</f>
        <v>27</v>
      </c>
      <c r="M10" s="454">
        <f>IFERROR(VLOOKUP(RIGHT($A10,4)*1,'Autumn term 2025'!$U$6:$X$16,3,FALSE),0)</f>
        <v>0</v>
      </c>
      <c r="N10" s="455">
        <f>IFERROR(VLOOKUP(RIGHT($A10,4)*1,'Autumn term 2025'!$U$6:$X$16,2,FALSE),0)</f>
        <v>0</v>
      </c>
      <c r="O10" s="38"/>
      <c r="P10" s="373"/>
      <c r="Q10" s="374" t="s">
        <v>141</v>
      </c>
      <c r="R10" s="301">
        <f t="shared" si="0"/>
        <v>0</v>
      </c>
      <c r="S10" s="302">
        <f t="shared" si="1"/>
        <v>0</v>
      </c>
      <c r="T10" s="300"/>
      <c r="U10" s="301">
        <f>G10</f>
        <v>16</v>
      </c>
      <c r="V10" s="301"/>
      <c r="W10" s="301"/>
      <c r="X10" s="302"/>
      <c r="Y10" s="375"/>
      <c r="Z10" s="301"/>
      <c r="AA10" s="301"/>
      <c r="AB10" s="301"/>
      <c r="AC10" s="301"/>
      <c r="AD10" s="301"/>
    </row>
    <row r="11" spans="1:30" hidden="1">
      <c r="A11" s="138">
        <v>8502062</v>
      </c>
      <c r="B11" s="138" t="s">
        <v>6</v>
      </c>
      <c r="C11" s="105">
        <f>SUMIFS(APN!$I$3:$I$97,APN!$A$3:$A$97,RIGHT(A11,4))</f>
        <v>11</v>
      </c>
      <c r="D11" s="184">
        <f>SUMIFS(APN!$J$3:$J$97,APN!$A$3:$A$97,RIGHT(A11,4))</f>
        <v>11</v>
      </c>
      <c r="E11" s="108">
        <f t="shared" si="2"/>
        <v>11</v>
      </c>
      <c r="F11" s="107">
        <f>SUMIFS(APN!$L$3:$L$97,APN!$A$3:$A$97,RIGHT(Data!A11,4)*1,APN!$H$3:$H$97,Data!J11)</f>
        <v>11</v>
      </c>
      <c r="G11" s="292">
        <f t="shared" si="3"/>
        <v>0</v>
      </c>
      <c r="H11" s="290">
        <v>0</v>
      </c>
      <c r="I11" s="217" t="s">
        <v>212</v>
      </c>
      <c r="J11" s="376" t="s">
        <v>130</v>
      </c>
      <c r="K11" s="139"/>
      <c r="L11" s="213">
        <f>IFERROR(VLOOKUP(RIGHT($A11,4)*1,'Autumn term 2025'!$AA$6:$AM$54,12,FALSE),0)</f>
        <v>8.26</v>
      </c>
      <c r="M11" s="454">
        <f>IFERROR(VLOOKUP(RIGHT($A11,4)*1,'Autumn term 2025'!$U$6:$X$16,3,FALSE),0)</f>
        <v>0</v>
      </c>
      <c r="N11" s="455">
        <f>IFERROR(VLOOKUP(RIGHT($A11,4)*1,'Autumn term 2025'!$U$6:$X$16,2,FALSE),0)</f>
        <v>0</v>
      </c>
      <c r="O11" s="38"/>
      <c r="P11" s="373"/>
      <c r="Q11" s="374"/>
      <c r="R11" s="301">
        <f t="shared" si="0"/>
        <v>0</v>
      </c>
      <c r="S11" s="302">
        <f t="shared" si="1"/>
        <v>0</v>
      </c>
      <c r="T11" s="300"/>
      <c r="U11" s="301"/>
      <c r="V11" s="301"/>
      <c r="W11" s="301"/>
      <c r="X11" s="302"/>
      <c r="Y11" s="375"/>
      <c r="Z11" s="301"/>
      <c r="AA11" s="301"/>
      <c r="AB11" s="301"/>
      <c r="AC11" s="301"/>
      <c r="AD11" s="301"/>
    </row>
    <row r="12" spans="1:30" hidden="1">
      <c r="A12" s="138">
        <v>8502070</v>
      </c>
      <c r="B12" s="465" t="s">
        <v>148</v>
      </c>
      <c r="C12" s="105">
        <f>SUMIFS(APN!$I$3:$I$97,APN!$A$3:$A$97,RIGHT(A12,4))</f>
        <v>0</v>
      </c>
      <c r="D12" s="184">
        <f>SUMIFS(APN!$J$3:$J$97,APN!$A$3:$A$97,RIGHT(A12,4))</f>
        <v>4</v>
      </c>
      <c r="E12" s="108">
        <f t="shared" si="2"/>
        <v>2.333333333333333</v>
      </c>
      <c r="F12" s="107">
        <f>SUMIFS(APN!$L$3:$L$97,APN!$A$3:$A$97,RIGHT(Data!A12,4)*1,APN!$H$3:$H$97,Data!J12)</f>
        <v>2.3333333333333335</v>
      </c>
      <c r="G12" s="292">
        <f t="shared" si="3"/>
        <v>0</v>
      </c>
      <c r="H12" s="290">
        <v>0</v>
      </c>
      <c r="I12" s="217" t="s">
        <v>212</v>
      </c>
      <c r="J12" s="376" t="s">
        <v>130</v>
      </c>
      <c r="K12" s="139">
        <v>1</v>
      </c>
      <c r="L12" s="213">
        <f>IFERROR(VLOOKUP(RIGHT($A12,4)*1,'Autumn term 2025'!$AA$6:$AM$54,12,FALSE),0)</f>
        <v>0</v>
      </c>
      <c r="M12" s="454">
        <f>IFERROR(VLOOKUP(RIGHT($A12,4)*1,'Autumn term 2025'!$U$6:$X$16,3,FALSE),0)</f>
        <v>0</v>
      </c>
      <c r="N12" s="455">
        <f>IFERROR(VLOOKUP(RIGHT($A12,4)*1,'Autumn term 2025'!$U$6:$X$16,2,FALSE),0)</f>
        <v>0</v>
      </c>
      <c r="O12" s="38"/>
      <c r="P12" s="373"/>
      <c r="Q12" s="374"/>
      <c r="R12" s="301">
        <f t="shared" si="0"/>
        <v>0</v>
      </c>
      <c r="S12" s="302">
        <f t="shared" si="1"/>
        <v>0</v>
      </c>
      <c r="T12" s="300"/>
      <c r="U12" s="301"/>
      <c r="V12" s="301"/>
      <c r="W12" s="301"/>
      <c r="X12" s="302"/>
      <c r="Y12" s="375"/>
      <c r="Z12" s="301"/>
      <c r="AA12" s="301"/>
      <c r="AB12" s="301"/>
      <c r="AC12" s="301"/>
      <c r="AD12" s="301"/>
    </row>
    <row r="13" spans="1:30">
      <c r="A13" s="138">
        <v>8502071</v>
      </c>
      <c r="B13" s="465" t="s">
        <v>149</v>
      </c>
      <c r="C13" s="105">
        <f>SUMIFS(APN!$I$3:$I$97,APN!$A$3:$A$97,RIGHT(A13,4))</f>
        <v>0</v>
      </c>
      <c r="D13" s="184">
        <f>SUMIFS(APN!$J$3:$J$97,APN!$A$3:$A$97,RIGHT(A13,4))</f>
        <v>5</v>
      </c>
      <c r="E13" s="108">
        <f t="shared" ref="E13" si="8">SUM(C13/12*5)+(D13/12*7)</f>
        <v>2.916666666666667</v>
      </c>
      <c r="F13" s="107">
        <f>SUMIFS(APN!$L$3:$L$97,APN!$A$3:$A$97,RIGHT(Data!A13,4)*1,APN!$H$3:$H$97,Data!J13)</f>
        <v>2.9166666666666665</v>
      </c>
      <c r="G13" s="292">
        <f t="shared" ref="G13" si="9">E13-F13</f>
        <v>0</v>
      </c>
      <c r="H13" s="290">
        <v>0</v>
      </c>
      <c r="I13" s="217" t="s">
        <v>212</v>
      </c>
      <c r="J13" s="376" t="s">
        <v>141</v>
      </c>
      <c r="K13" s="139"/>
      <c r="L13" s="213">
        <f>IFERROR(VLOOKUP(RIGHT($A13,4)*1,'Autumn term 2025'!$AA$6:$AM$54,12,FALSE),0)</f>
        <v>0</v>
      </c>
      <c r="M13" s="454">
        <f>IFERROR(VLOOKUP(RIGHT($A13,4)*1,'Autumn term 2025'!$U$6:$X$16,3,FALSE),0)</f>
        <v>0</v>
      </c>
      <c r="N13" s="455">
        <f>IFERROR(VLOOKUP(RIGHT($A13,4)*1,'Autumn term 2025'!$U$6:$X$16,2,FALSE),0)</f>
        <v>0</v>
      </c>
      <c r="O13" s="38"/>
      <c r="P13" s="373"/>
      <c r="Q13" s="374"/>
      <c r="R13" s="301">
        <f t="shared" ref="R13" si="10">IFERROR(ROUND((M13/$L13)*$E13,2),0)</f>
        <v>0</v>
      </c>
      <c r="S13" s="302">
        <f t="shared" ref="S13" si="11">IFERROR(ROUND((N13/$L13)*$E13,2),0)</f>
        <v>0</v>
      </c>
      <c r="T13" s="300"/>
      <c r="U13" s="301"/>
      <c r="V13" s="301"/>
      <c r="W13" s="301"/>
      <c r="X13" s="302"/>
      <c r="Y13" s="375"/>
      <c r="Z13" s="301"/>
      <c r="AA13" s="301"/>
      <c r="AB13" s="301"/>
      <c r="AC13" s="301"/>
      <c r="AD13" s="301"/>
    </row>
    <row r="14" spans="1:30" hidden="1">
      <c r="A14" s="138">
        <v>8502072</v>
      </c>
      <c r="B14" s="465" t="s">
        <v>150</v>
      </c>
      <c r="C14" s="105">
        <f>SUMIFS(APN!$I$3:$I$97,APN!$A$3:$A$97,RIGHT(A14,4))</f>
        <v>0</v>
      </c>
      <c r="D14" s="184">
        <f>SUMIFS(APN!$J$3:$J$97,APN!$A$3:$A$97,RIGHT(A14,4))</f>
        <v>4</v>
      </c>
      <c r="E14" s="108">
        <f t="shared" si="2"/>
        <v>2.333333333333333</v>
      </c>
      <c r="F14" s="107">
        <f>SUMIFS(APN!$L$3:$L$97,APN!$A$3:$A$97,RIGHT(Data!A14,4)*1,APN!$H$3:$H$97,Data!J14)</f>
        <v>2.3333333333333335</v>
      </c>
      <c r="G14" s="292">
        <f t="shared" si="3"/>
        <v>0</v>
      </c>
      <c r="H14" s="290">
        <v>0</v>
      </c>
      <c r="I14" s="217" t="s">
        <v>212</v>
      </c>
      <c r="J14" s="376" t="s">
        <v>130</v>
      </c>
      <c r="K14" s="139">
        <v>1</v>
      </c>
      <c r="L14" s="213">
        <f>IFERROR(VLOOKUP(RIGHT($A14,4)*1,'Autumn term 2025'!$AA$6:$AM$54,12,FALSE),0)</f>
        <v>0</v>
      </c>
      <c r="M14" s="454">
        <f>IFERROR(VLOOKUP(RIGHT($A14,4)*1,'Autumn term 2025'!$U$6:$X$16,3,FALSE),0)</f>
        <v>0</v>
      </c>
      <c r="N14" s="455">
        <f>IFERROR(VLOOKUP(RIGHT($A14,4)*1,'Autumn term 2025'!$U$6:$X$16,2,FALSE),0)</f>
        <v>0</v>
      </c>
      <c r="O14" s="38"/>
      <c r="P14" s="373"/>
      <c r="Q14" s="374"/>
      <c r="R14" s="301">
        <f t="shared" si="0"/>
        <v>0</v>
      </c>
      <c r="S14" s="302">
        <f t="shared" si="1"/>
        <v>0</v>
      </c>
      <c r="T14" s="300"/>
      <c r="U14" s="301"/>
      <c r="V14" s="301"/>
      <c r="W14" s="301"/>
      <c r="X14" s="302"/>
      <c r="Y14" s="375"/>
      <c r="Z14" s="301"/>
      <c r="AA14" s="301"/>
      <c r="AB14" s="301"/>
      <c r="AC14" s="301"/>
      <c r="AD14" s="301"/>
    </row>
    <row r="15" spans="1:30" hidden="1">
      <c r="A15" s="138">
        <v>8502073</v>
      </c>
      <c r="B15" s="465" t="s">
        <v>151</v>
      </c>
      <c r="C15" s="105">
        <f>SUMIFS(APN!$I$3:$I$97,APN!$A$3:$A$97,RIGHT(A15,4))</f>
        <v>0</v>
      </c>
      <c r="D15" s="184">
        <f>SUMIFS(APN!$J$3:$J$97,APN!$A$3:$A$97,RIGHT(A15,4))</f>
        <v>4</v>
      </c>
      <c r="E15" s="108">
        <f t="shared" ref="E15" si="12">SUM(C15/12*5)+(D15/12*7)</f>
        <v>2.333333333333333</v>
      </c>
      <c r="F15" s="107">
        <f>SUMIFS(APN!$L$3:$L$97,APN!$A$3:$A$97,RIGHT(Data!A15,4)*1,APN!$H$3:$H$97,Data!J15)</f>
        <v>2.3333333333333335</v>
      </c>
      <c r="G15" s="292">
        <f t="shared" ref="G15" si="13">E15-F15</f>
        <v>0</v>
      </c>
      <c r="H15" s="290">
        <v>0</v>
      </c>
      <c r="I15" s="217" t="s">
        <v>212</v>
      </c>
      <c r="J15" s="376" t="s">
        <v>130</v>
      </c>
      <c r="K15" s="139">
        <v>1</v>
      </c>
      <c r="L15" s="213">
        <f>IFERROR(VLOOKUP(RIGHT($A15,4)*1,'Autumn term 2025'!$AA$6:$AM$54,12,FALSE),0)</f>
        <v>0</v>
      </c>
      <c r="M15" s="454">
        <f>IFERROR(VLOOKUP(RIGHT($A15,4)*1,'Autumn term 2025'!$U$6:$X$16,3,FALSE),0)</f>
        <v>0</v>
      </c>
      <c r="N15" s="455">
        <f>IFERROR(VLOOKUP(RIGHT($A15,4)*1,'Autumn term 2025'!$U$6:$X$16,2,FALSE),0)</f>
        <v>0</v>
      </c>
      <c r="O15" s="38"/>
      <c r="P15" s="373"/>
      <c r="Q15" s="374"/>
      <c r="R15" s="301">
        <f t="shared" ref="R15" si="14">IFERROR(ROUND((M15/$L15)*$E15,2),0)</f>
        <v>0</v>
      </c>
      <c r="S15" s="302">
        <f t="shared" ref="S15" si="15">IFERROR(ROUND((N15/$L15)*$E15,2),0)</f>
        <v>0</v>
      </c>
      <c r="T15" s="300"/>
      <c r="U15" s="301"/>
      <c r="V15" s="301"/>
      <c r="W15" s="301"/>
      <c r="X15" s="302"/>
      <c r="Y15" s="375"/>
      <c r="Z15" s="301"/>
      <c r="AA15" s="301"/>
      <c r="AB15" s="301"/>
      <c r="AC15" s="301"/>
      <c r="AD15" s="301"/>
    </row>
    <row r="16" spans="1:30" hidden="1">
      <c r="A16" s="138">
        <v>8502091</v>
      </c>
      <c r="B16" s="465" t="s">
        <v>152</v>
      </c>
      <c r="C16" s="105">
        <f>SUMIFS(APN!$I$3:$I$97,APN!$A$3:$A$97,RIGHT(A16,4))</f>
        <v>0</v>
      </c>
      <c r="D16" s="184">
        <f>SUMIFS(APN!$J$3:$J$97,APN!$A$3:$A$97,RIGHT(A16,4))</f>
        <v>6</v>
      </c>
      <c r="E16" s="108">
        <f t="shared" ref="E16" si="16">SUM(C16/12*5)+(D16/12*7)</f>
        <v>3.5</v>
      </c>
      <c r="F16" s="107">
        <f>SUMIFS(APN!$L$3:$L$97,APN!$A$3:$A$97,RIGHT(Data!A16,4)*1,APN!$H$3:$H$97,Data!J16)</f>
        <v>3.5</v>
      </c>
      <c r="G16" s="292">
        <f t="shared" ref="G16" si="17">E16-F16</f>
        <v>0</v>
      </c>
      <c r="H16" s="290">
        <v>0</v>
      </c>
      <c r="I16" s="217" t="s">
        <v>212</v>
      </c>
      <c r="J16" s="376" t="s">
        <v>141</v>
      </c>
      <c r="K16" s="139"/>
      <c r="L16" s="213">
        <f>IFERROR(VLOOKUP(RIGHT($A16,4)*1,'Autumn term 2025'!$AA$6:$AM$54,12,FALSE),0)</f>
        <v>0</v>
      </c>
      <c r="M16" s="454">
        <f>IFERROR(VLOOKUP(RIGHT($A16,4)*1,'Autumn term 2025'!$U$6:$X$16,3,FALSE),0)</f>
        <v>0</v>
      </c>
      <c r="N16" s="455">
        <f>IFERROR(VLOOKUP(RIGHT($A16,4)*1,'Autumn term 2025'!$U$6:$X$16,2,FALSE),0)</f>
        <v>0</v>
      </c>
      <c r="O16" s="38"/>
      <c r="P16" s="373"/>
      <c r="Q16" s="374"/>
      <c r="R16" s="301">
        <f t="shared" ref="R16" si="18">IFERROR(ROUND((M16/$L16)*$E16,2),0)</f>
        <v>0</v>
      </c>
      <c r="S16" s="302">
        <f t="shared" ref="S16" si="19">IFERROR(ROUND((N16/$L16)*$E16,2),0)</f>
        <v>0</v>
      </c>
      <c r="T16" s="300"/>
      <c r="U16" s="301"/>
      <c r="V16" s="301"/>
      <c r="W16" s="301"/>
      <c r="X16" s="302"/>
      <c r="Y16" s="375"/>
      <c r="Z16" s="301"/>
      <c r="AA16" s="301"/>
      <c r="AB16" s="301"/>
      <c r="AC16" s="301"/>
      <c r="AD16" s="301"/>
    </row>
    <row r="17" spans="1:30" hidden="1">
      <c r="A17" s="138">
        <v>8502103</v>
      </c>
      <c r="B17" s="138" t="s">
        <v>8</v>
      </c>
      <c r="C17" s="105">
        <f>SUMIFS(APN!$I$3:$I$97,APN!$A$3:$A$97,RIGHT(A17,4))</f>
        <v>8</v>
      </c>
      <c r="D17" s="184">
        <f>SUMIFS(APN!$J$3:$J$97,APN!$A$3:$A$97,RIGHT(A17,4))</f>
        <v>8</v>
      </c>
      <c r="E17" s="108">
        <f t="shared" si="2"/>
        <v>7.9999999999999991</v>
      </c>
      <c r="F17" s="107">
        <f>SUMIFS(APN!$L$3:$L$97,APN!$A$3:$A$97,RIGHT(Data!A17,4)*1,APN!$H$3:$H$97,Data!J17)</f>
        <v>8</v>
      </c>
      <c r="G17" s="292">
        <f t="shared" si="3"/>
        <v>0</v>
      </c>
      <c r="H17" s="290">
        <v>0</v>
      </c>
      <c r="I17" s="217" t="s">
        <v>212</v>
      </c>
      <c r="J17" s="376" t="s">
        <v>130</v>
      </c>
      <c r="K17" s="139"/>
      <c r="L17" s="213">
        <f>IFERROR(VLOOKUP(RIGHT($A17,4)*1,'Autumn term 2025'!$AA$6:$AM$54,12,FALSE),0)</f>
        <v>8</v>
      </c>
      <c r="M17" s="454">
        <f>IFERROR(VLOOKUP(RIGHT($A17,4)*1,'Autumn term 2025'!$U$6:$X$16,3,FALSE),0)</f>
        <v>0</v>
      </c>
      <c r="N17" s="455">
        <f>IFERROR(VLOOKUP(RIGHT($A17,4)*1,'Autumn term 2025'!$U$6:$X$16,2,FALSE),0)</f>
        <v>0</v>
      </c>
      <c r="O17" s="38"/>
      <c r="P17" s="373"/>
      <c r="Q17" s="374"/>
      <c r="R17" s="301">
        <f t="shared" si="0"/>
        <v>0</v>
      </c>
      <c r="S17" s="302">
        <f t="shared" si="1"/>
        <v>0</v>
      </c>
      <c r="T17" s="300"/>
      <c r="U17" s="301"/>
      <c r="V17" s="301"/>
      <c r="W17" s="301"/>
      <c r="X17" s="302"/>
      <c r="Y17" s="375"/>
      <c r="Z17" s="301"/>
      <c r="AA17" s="301"/>
      <c r="AB17" s="301"/>
      <c r="AC17" s="301"/>
      <c r="AD17" s="301"/>
    </row>
    <row r="18" spans="1:30" hidden="1">
      <c r="A18" s="185">
        <v>8502111</v>
      </c>
      <c r="B18" s="185" t="s">
        <v>9</v>
      </c>
      <c r="C18" s="105">
        <f>SUMIFS(APN!$I$3:$I$97,APN!$A$3:$A$97,RIGHT(A18,4))</f>
        <v>16</v>
      </c>
      <c r="D18" s="184">
        <f>SUMIFS(APN!$J$3:$J$97,APN!$A$3:$A$97,RIGHT(A18,4))</f>
        <v>16</v>
      </c>
      <c r="E18" s="108">
        <f t="shared" si="2"/>
        <v>15.999999999999998</v>
      </c>
      <c r="F18" s="107">
        <f>SUMIFS(APN!$L$3:$L$97,APN!$A$3:$A$97,RIGHT(Data!A18,4)*1,APN!$H$3:$H$97,Data!J18)</f>
        <v>8</v>
      </c>
      <c r="G18" s="292">
        <f t="shared" si="3"/>
        <v>7.9999999999999982</v>
      </c>
      <c r="H18" s="290">
        <v>0</v>
      </c>
      <c r="I18" s="217" t="s">
        <v>212</v>
      </c>
      <c r="J18" s="376" t="s">
        <v>213</v>
      </c>
      <c r="K18" s="139"/>
      <c r="L18" s="213">
        <f>IFERROR(VLOOKUP(RIGHT($A18,4)*1,'Autumn term 2025'!$AA$6:$AM$54,12,FALSE),0)</f>
        <v>19</v>
      </c>
      <c r="M18" s="454">
        <f>IFERROR(VLOOKUP(RIGHT($A18,4)*1,'Autumn term 2025'!$U$6:$X$16,3,FALSE),0)</f>
        <v>0</v>
      </c>
      <c r="N18" s="455">
        <f>IFERROR(VLOOKUP(RIGHT($A18,4)*1,'Autumn term 2025'!$U$6:$X$16,2,FALSE),0)</f>
        <v>0</v>
      </c>
      <c r="O18" s="38"/>
      <c r="P18" s="373"/>
      <c r="Q18" s="374" t="s">
        <v>141</v>
      </c>
      <c r="R18" s="301">
        <f t="shared" si="0"/>
        <v>0</v>
      </c>
      <c r="S18" s="302">
        <f t="shared" si="1"/>
        <v>0</v>
      </c>
      <c r="T18" s="300"/>
      <c r="U18" s="301">
        <f>G18</f>
        <v>7.9999999999999982</v>
      </c>
      <c r="V18" s="301"/>
      <c r="W18" s="301"/>
      <c r="X18" s="302"/>
      <c r="Y18" s="375"/>
      <c r="Z18" s="301"/>
      <c r="AA18" s="301"/>
      <c r="AB18" s="301"/>
      <c r="AC18" s="301"/>
      <c r="AD18" s="301"/>
    </row>
    <row r="19" spans="1:30" hidden="1">
      <c r="A19" s="138">
        <v>8502127</v>
      </c>
      <c r="B19" s="138" t="s">
        <v>11</v>
      </c>
      <c r="C19" s="105">
        <f>SUMIFS(APN!$I$3:$I$97,APN!$A$3:$A$97,RIGHT(A19,4))</f>
        <v>12</v>
      </c>
      <c r="D19" s="184">
        <f>SUMIFS(APN!$J$3:$J$97,APN!$A$3:$A$97,RIGHT(A19,4))</f>
        <v>12</v>
      </c>
      <c r="E19" s="108">
        <f t="shared" si="2"/>
        <v>12</v>
      </c>
      <c r="F19" s="107">
        <f>SUMIFS(APN!$L$3:$L$97,APN!$A$3:$A$97,RIGHT(Data!A19,4)*1,APN!$H$3:$H$97,Data!J19)</f>
        <v>12</v>
      </c>
      <c r="G19" s="292">
        <f t="shared" si="3"/>
        <v>0</v>
      </c>
      <c r="H19" s="290">
        <v>0</v>
      </c>
      <c r="I19" s="217" t="s">
        <v>212</v>
      </c>
      <c r="J19" s="376" t="s">
        <v>143</v>
      </c>
      <c r="K19" s="139"/>
      <c r="L19" s="213">
        <f>IFERROR(VLOOKUP(RIGHT($A19,4)*1,'Autumn term 2025'!$AA$6:$AM$54,12,FALSE),0)</f>
        <v>9</v>
      </c>
      <c r="M19" s="454">
        <f>IFERROR(VLOOKUP(RIGHT($A19,4)*1,'Autumn term 2025'!$U$6:$X$16,3,FALSE),0)</f>
        <v>0</v>
      </c>
      <c r="N19" s="455">
        <f>IFERROR(VLOOKUP(RIGHT($A19,4)*1,'Autumn term 2025'!$U$6:$X$16,2,FALSE),0)</f>
        <v>0</v>
      </c>
      <c r="O19" s="38"/>
      <c r="P19" s="373"/>
      <c r="Q19" s="374"/>
      <c r="R19" s="301">
        <f t="shared" si="0"/>
        <v>0</v>
      </c>
      <c r="S19" s="302">
        <f t="shared" si="1"/>
        <v>0</v>
      </c>
      <c r="T19" s="300"/>
      <c r="U19" s="301"/>
      <c r="V19" s="301"/>
      <c r="W19" s="301"/>
      <c r="X19" s="302"/>
      <c r="Y19" s="375"/>
      <c r="Z19" s="301"/>
      <c r="AA19" s="301"/>
      <c r="AB19" s="301"/>
      <c r="AC19" s="301"/>
      <c r="AD19" s="301"/>
    </row>
    <row r="20" spans="1:30" hidden="1">
      <c r="A20" s="138">
        <v>8502190</v>
      </c>
      <c r="B20" s="465" t="s">
        <v>153</v>
      </c>
      <c r="C20" s="105">
        <f>SUMIFS(APN!$I$3:$I$97,APN!$A$3:$A$97,RIGHT(A20,4))</f>
        <v>0</v>
      </c>
      <c r="D20" s="184">
        <f>SUMIFS(APN!$J$3:$J$97,APN!$A$3:$A$97,RIGHT(A20,4))</f>
        <v>0</v>
      </c>
      <c r="E20" s="108">
        <f t="shared" si="2"/>
        <v>0</v>
      </c>
      <c r="F20" s="107">
        <f>SUMIFS(APN!$L$3:$L$97,APN!$A$3:$A$97,RIGHT(Data!A20,4)*1,APN!$H$3:$H$97,Data!J20)</f>
        <v>0</v>
      </c>
      <c r="G20" s="292">
        <f t="shared" si="3"/>
        <v>0</v>
      </c>
      <c r="H20" s="290">
        <v>0</v>
      </c>
      <c r="I20" s="217" t="s">
        <v>212</v>
      </c>
      <c r="J20" s="376" t="s">
        <v>130</v>
      </c>
      <c r="K20" s="139"/>
      <c r="L20" s="213">
        <f>IFERROR(VLOOKUP(RIGHT($A20,4)*1,'Autumn term 2025'!$AA$6:$AM$54,12,FALSE),0)</f>
        <v>0</v>
      </c>
      <c r="M20" s="454">
        <f>IFERROR(VLOOKUP(RIGHT($A20,4)*1,'Autumn term 2025'!$U$6:$X$16,3,FALSE),0)</f>
        <v>0</v>
      </c>
      <c r="N20" s="455">
        <f>IFERROR(VLOOKUP(RIGHT($A20,4)*1,'Autumn term 2025'!$U$6:$X$16,2,FALSE),0)</f>
        <v>0</v>
      </c>
      <c r="O20" s="38"/>
      <c r="P20" s="373"/>
      <c r="Q20" s="374"/>
      <c r="R20" s="301">
        <f t="shared" si="0"/>
        <v>0</v>
      </c>
      <c r="S20" s="302">
        <f t="shared" si="1"/>
        <v>0</v>
      </c>
      <c r="T20" s="300"/>
      <c r="U20" s="301"/>
      <c r="V20" s="301"/>
      <c r="W20" s="301"/>
      <c r="X20" s="302"/>
      <c r="Y20" s="375"/>
      <c r="Z20" s="301"/>
      <c r="AA20" s="301"/>
      <c r="AB20" s="301"/>
      <c r="AC20" s="301"/>
      <c r="AD20" s="301"/>
    </row>
    <row r="21" spans="1:30" hidden="1">
      <c r="A21" s="138">
        <v>8502206</v>
      </c>
      <c r="B21" s="465" t="s">
        <v>154</v>
      </c>
      <c r="C21" s="105">
        <f>SUMIFS(APN!$I$3:$I$97,APN!$A$3:$A$97,RIGHT(A21,4))</f>
        <v>0</v>
      </c>
      <c r="D21" s="184">
        <f>SUMIFS(APN!$J$3:$J$97,APN!$A$3:$A$97,RIGHT(A21,4))</f>
        <v>5</v>
      </c>
      <c r="E21" s="108">
        <f t="shared" si="2"/>
        <v>2.916666666666667</v>
      </c>
      <c r="F21" s="107">
        <f>SUMIFS(APN!$L$3:$L$97,APN!$A$3:$A$97,RIGHT(Data!A21,4)*1,APN!$H$3:$H$97,Data!J21)</f>
        <v>2.9166666666666665</v>
      </c>
      <c r="G21" s="292">
        <f t="shared" si="3"/>
        <v>0</v>
      </c>
      <c r="H21" s="290">
        <v>0</v>
      </c>
      <c r="I21" s="217" t="s">
        <v>212</v>
      </c>
      <c r="J21" s="376" t="s">
        <v>130</v>
      </c>
      <c r="K21" s="139"/>
      <c r="L21" s="213">
        <f>IFERROR(VLOOKUP(RIGHT($A21,4)*1,'Autumn term 2025'!$AA$6:$AM$54,12,FALSE),0)</f>
        <v>0</v>
      </c>
      <c r="M21" s="454">
        <f>IFERROR(VLOOKUP(RIGHT($A21,4)*1,'Autumn term 2025'!$U$6:$X$16,3,FALSE),0)</f>
        <v>0</v>
      </c>
      <c r="N21" s="455">
        <f>IFERROR(VLOOKUP(RIGHT($A21,4)*1,'Autumn term 2025'!$U$6:$X$16,2,FALSE),0)</f>
        <v>0</v>
      </c>
      <c r="O21" s="38"/>
      <c r="P21" s="373"/>
      <c r="Q21" s="374"/>
      <c r="R21" s="301">
        <f t="shared" si="0"/>
        <v>0</v>
      </c>
      <c r="S21" s="302">
        <f t="shared" si="1"/>
        <v>0</v>
      </c>
      <c r="T21" s="300"/>
      <c r="U21" s="301"/>
      <c r="V21" s="301"/>
      <c r="W21" s="301"/>
      <c r="X21" s="302"/>
      <c r="Y21" s="375"/>
      <c r="Z21" s="301"/>
      <c r="AA21" s="301"/>
      <c r="AB21" s="301"/>
      <c r="AC21" s="301"/>
      <c r="AD21" s="301"/>
    </row>
    <row r="22" spans="1:30" hidden="1">
      <c r="A22" s="138">
        <v>8502220</v>
      </c>
      <c r="B22" s="138" t="s">
        <v>12</v>
      </c>
      <c r="C22" s="105">
        <f>SUMIFS(APN!$I$3:$I$97,APN!$A$3:$A$97,RIGHT(A22,4))</f>
        <v>12</v>
      </c>
      <c r="D22" s="184">
        <f>SUMIFS(APN!$J$3:$J$97,APN!$A$3:$A$97,RIGHT(A22,4))</f>
        <v>12</v>
      </c>
      <c r="E22" s="108">
        <f t="shared" si="2"/>
        <v>12</v>
      </c>
      <c r="F22" s="107">
        <f>SUMIFS(APN!$L$3:$L$97,APN!$A$3:$A$97,RIGHT(Data!A22,4)*1,APN!$H$3:$H$97,Data!J22)</f>
        <v>12</v>
      </c>
      <c r="G22" s="292">
        <f t="shared" si="3"/>
        <v>0</v>
      </c>
      <c r="H22" s="290">
        <v>0</v>
      </c>
      <c r="I22" s="217" t="s">
        <v>212</v>
      </c>
      <c r="J22" s="376" t="s">
        <v>142</v>
      </c>
      <c r="K22" s="139"/>
      <c r="L22" s="213">
        <f>IFERROR(VLOOKUP(RIGHT($A22,4)*1,'Autumn term 2025'!$AA$6:$AM$54,12,FALSE),0)</f>
        <v>9</v>
      </c>
      <c r="M22" s="454">
        <f>IFERROR(VLOOKUP(RIGHT($A22,4)*1,'Autumn term 2025'!$U$6:$X$16,3,FALSE),0)</f>
        <v>0</v>
      </c>
      <c r="N22" s="455">
        <f>IFERROR(VLOOKUP(RIGHT($A22,4)*1,'Autumn term 2025'!$U$6:$X$16,2,FALSE),0)</f>
        <v>0</v>
      </c>
      <c r="O22" s="38"/>
      <c r="P22" s="373"/>
      <c r="Q22" s="374"/>
      <c r="R22" s="301">
        <f t="shared" si="0"/>
        <v>0</v>
      </c>
      <c r="S22" s="302">
        <f t="shared" si="1"/>
        <v>0</v>
      </c>
      <c r="T22" s="300"/>
      <c r="U22" s="301"/>
      <c r="V22" s="301"/>
      <c r="W22" s="301"/>
      <c r="X22" s="302"/>
      <c r="Y22" s="375"/>
      <c r="Z22" s="301"/>
      <c r="AA22" s="301"/>
      <c r="AB22" s="301"/>
      <c r="AC22" s="301"/>
      <c r="AD22" s="301"/>
    </row>
    <row r="23" spans="1:30" hidden="1">
      <c r="A23" s="185">
        <v>8502228</v>
      </c>
      <c r="B23" s="185" t="s">
        <v>13</v>
      </c>
      <c r="C23" s="105">
        <f>SUMIFS(APN!$I$3:$I$97,APN!$A$3:$A$97,RIGHT(A23,4))</f>
        <v>22</v>
      </c>
      <c r="D23" s="184">
        <f>SUMIFS(APN!$J$3:$J$97,APN!$A$3:$A$97,RIGHT(A23,4))</f>
        <v>22</v>
      </c>
      <c r="E23" s="108">
        <f t="shared" si="2"/>
        <v>22</v>
      </c>
      <c r="F23" s="107">
        <f>SUMIFS(APN!$L$3:$L$97,APN!$A$3:$A$97,RIGHT(Data!A23,4)*1,APN!$H$3:$H$97,Data!J23)</f>
        <v>13</v>
      </c>
      <c r="G23" s="292">
        <f t="shared" si="3"/>
        <v>9</v>
      </c>
      <c r="H23" s="290">
        <v>0</v>
      </c>
      <c r="I23" s="217" t="s">
        <v>212</v>
      </c>
      <c r="J23" s="376" t="s">
        <v>142</v>
      </c>
      <c r="K23" s="139"/>
      <c r="L23" s="213">
        <f>IFERROR(VLOOKUP(RIGHT($A23,4)*1,'Autumn term 2025'!$AA$6:$AM$54,12,FALSE),0)</f>
        <v>23</v>
      </c>
      <c r="M23" s="454">
        <f>IFERROR(VLOOKUP(RIGHT($A23,4)*1,'Autumn term 2025'!$U$6:$X$16,3,FALSE),0)</f>
        <v>0</v>
      </c>
      <c r="N23" s="455">
        <f>IFERROR(VLOOKUP(RIGHT($A23,4)*1,'Autumn term 2025'!$U$6:$X$16,2,FALSE),0)</f>
        <v>0</v>
      </c>
      <c r="O23" s="38"/>
      <c r="P23" s="373"/>
      <c r="Q23" s="374" t="s">
        <v>143</v>
      </c>
      <c r="R23" s="301">
        <f t="shared" si="0"/>
        <v>0</v>
      </c>
      <c r="S23" s="302">
        <f t="shared" si="1"/>
        <v>0</v>
      </c>
      <c r="T23" s="300"/>
      <c r="U23" s="301"/>
      <c r="V23" s="301">
        <f>G23</f>
        <v>9</v>
      </c>
      <c r="W23" s="301"/>
      <c r="X23" s="302"/>
      <c r="Y23" s="375"/>
      <c r="Z23" s="301"/>
      <c r="AA23" s="301"/>
      <c r="AB23" s="301"/>
      <c r="AC23" s="301"/>
      <c r="AD23" s="301"/>
    </row>
    <row r="24" spans="1:30" hidden="1">
      <c r="A24" s="138">
        <v>8502237</v>
      </c>
      <c r="B24" s="138" t="s">
        <v>14</v>
      </c>
      <c r="C24" s="105">
        <f>SUMIFS(APN!$I$3:$I$97,APN!$A$3:$A$97,RIGHT(A24,4))</f>
        <v>12</v>
      </c>
      <c r="D24" s="184">
        <f>SUMIFS(APN!$J$3:$J$97,APN!$A$3:$A$97,RIGHT(A24,4))</f>
        <v>6</v>
      </c>
      <c r="E24" s="108">
        <f t="shared" si="2"/>
        <v>8.5</v>
      </c>
      <c r="F24" s="107">
        <f>SUMIFS(APN!$L$3:$L$97,APN!$A$3:$A$97,RIGHT(Data!A24,4)*1,APN!$H$3:$H$97,Data!J24)</f>
        <v>8.5</v>
      </c>
      <c r="G24" s="292">
        <f t="shared" si="3"/>
        <v>0</v>
      </c>
      <c r="H24" s="290">
        <v>0</v>
      </c>
      <c r="I24" s="217" t="s">
        <v>212</v>
      </c>
      <c r="J24" s="376" t="s">
        <v>142</v>
      </c>
      <c r="K24" s="139"/>
      <c r="L24" s="213">
        <f>IFERROR(VLOOKUP(RIGHT($A24,4)*1,'Autumn term 2025'!$AA$6:$AM$54,12,FALSE),0)</f>
        <v>7</v>
      </c>
      <c r="M24" s="454">
        <f>IFERROR(VLOOKUP(RIGHT($A24,4)*1,'Autumn term 2025'!$U$6:$X$16,3,FALSE),0)</f>
        <v>0</v>
      </c>
      <c r="N24" s="455">
        <f>IFERROR(VLOOKUP(RIGHT($A24,4)*1,'Autumn term 2025'!$U$6:$X$16,2,FALSE),0)</f>
        <v>0</v>
      </c>
      <c r="O24" s="38"/>
      <c r="P24" s="373"/>
      <c r="Q24" s="552"/>
      <c r="R24" s="301">
        <f t="shared" si="0"/>
        <v>0</v>
      </c>
      <c r="S24" s="302">
        <f t="shared" si="1"/>
        <v>0</v>
      </c>
      <c r="T24" s="300"/>
      <c r="U24" s="301"/>
      <c r="V24" s="301"/>
      <c r="W24" s="301"/>
      <c r="X24" s="302"/>
      <c r="Y24" s="375"/>
      <c r="Z24" s="301"/>
      <c r="AA24" s="301"/>
      <c r="AB24" s="301"/>
      <c r="AC24" s="301"/>
      <c r="AD24" s="301"/>
    </row>
    <row r="25" spans="1:30" hidden="1">
      <c r="A25" s="138">
        <v>8502291</v>
      </c>
      <c r="B25" s="138" t="s">
        <v>159</v>
      </c>
      <c r="C25" s="105">
        <f>SUMIFS(APN!$I$3:$I$97,APN!$A$3:$A$97,RIGHT(A25,4))</f>
        <v>10</v>
      </c>
      <c r="D25" s="184">
        <f>SUMIFS(APN!$J$3:$J$97,APN!$A$3:$A$97,RIGHT(A25,4))</f>
        <v>10</v>
      </c>
      <c r="E25" s="108">
        <f>SUM(C25/12*5)+(D25/12*7)</f>
        <v>10</v>
      </c>
      <c r="F25" s="107">
        <f>SUMIFS(APN!$L$3:$L$97,APN!$A$3:$A$97,RIGHT(Data!A25,4)*1,APN!$H$3:$H$97,Data!J25)</f>
        <v>10</v>
      </c>
      <c r="G25" s="292">
        <f>E25-F25</f>
        <v>0</v>
      </c>
      <c r="H25" s="290">
        <v>0</v>
      </c>
      <c r="I25" s="217" t="s">
        <v>212</v>
      </c>
      <c r="J25" s="376" t="s">
        <v>143</v>
      </c>
      <c r="K25" s="139"/>
      <c r="L25" s="213">
        <f>IFERROR(VLOOKUP(RIGHT($A25,4)*1,'Autumn term 2025'!$AA$6:$AM$54,12,FALSE),0)</f>
        <v>7</v>
      </c>
      <c r="M25" s="454">
        <f>IFERROR(VLOOKUP(RIGHT($A25,4)*1,'Autumn term 2025'!$U$6:$X$16,3,FALSE),0)</f>
        <v>0</v>
      </c>
      <c r="N25" s="455">
        <f>IFERROR(VLOOKUP(RIGHT($A25,4)*1,'Autumn term 2025'!$U$6:$X$16,2,FALSE),0)</f>
        <v>0</v>
      </c>
      <c r="O25" s="38"/>
      <c r="P25" s="373"/>
      <c r="Q25" s="374"/>
      <c r="R25" s="301">
        <f>IFERROR(ROUND((M25/$L25)*$E25,2),0)</f>
        <v>0</v>
      </c>
      <c r="S25" s="302">
        <f>IFERROR(ROUND((N25/$L25)*$E25,2),0)</f>
        <v>0</v>
      </c>
      <c r="T25" s="300"/>
      <c r="U25" s="301"/>
      <c r="V25" s="301"/>
      <c r="W25" s="301"/>
      <c r="X25" s="302"/>
      <c r="Y25" s="375"/>
      <c r="Z25" s="301"/>
      <c r="AA25" s="301"/>
      <c r="AB25" s="301"/>
      <c r="AC25" s="301"/>
      <c r="AD25" s="301"/>
    </row>
    <row r="26" spans="1:30" hidden="1">
      <c r="A26" s="138">
        <v>8502266</v>
      </c>
      <c r="B26" s="465" t="s">
        <v>155</v>
      </c>
      <c r="C26" s="105">
        <f>SUMIFS(APN!$I$3:$I$97,APN!$A$3:$A$97,RIGHT(A26,4))</f>
        <v>0</v>
      </c>
      <c r="D26" s="184">
        <f>SUMIFS(APN!$J$3:$J$97,APN!$A$3:$A$97,RIGHT(A26,4))</f>
        <v>6</v>
      </c>
      <c r="E26" s="108">
        <f t="shared" si="2"/>
        <v>3.5</v>
      </c>
      <c r="F26" s="107">
        <f>SUMIFS(APN!$L$3:$L$97,APN!$A$3:$A$97,RIGHT(Data!A26,4)*1,APN!$H$3:$H$97,Data!J26)</f>
        <v>3.5</v>
      </c>
      <c r="G26" s="292">
        <f t="shared" si="3"/>
        <v>0</v>
      </c>
      <c r="H26" s="290">
        <v>0</v>
      </c>
      <c r="I26" s="217" t="s">
        <v>212</v>
      </c>
      <c r="J26" s="376" t="s">
        <v>141</v>
      </c>
      <c r="K26" s="139"/>
      <c r="L26" s="213">
        <f>IFERROR(VLOOKUP(RIGHT($A26,4)*1,'Autumn term 2025'!$AA$6:$AM$54,12,FALSE),0)</f>
        <v>0</v>
      </c>
      <c r="M26" s="454">
        <f>IFERROR(VLOOKUP(RIGHT($A26,4)*1,'Autumn term 2025'!$U$6:$X$16,3,FALSE),0)</f>
        <v>0</v>
      </c>
      <c r="N26" s="455">
        <f>IFERROR(VLOOKUP(RIGHT($A26,4)*1,'Autumn term 2025'!$U$6:$X$16,2,FALSE),0)</f>
        <v>0</v>
      </c>
      <c r="O26" s="38"/>
      <c r="P26" s="373"/>
      <c r="Q26" s="374"/>
      <c r="R26" s="301">
        <f t="shared" si="0"/>
        <v>0</v>
      </c>
      <c r="S26" s="302">
        <f t="shared" si="1"/>
        <v>0</v>
      </c>
      <c r="T26" s="300"/>
      <c r="U26" s="301"/>
      <c r="V26" s="301"/>
      <c r="W26" s="301"/>
      <c r="X26" s="302"/>
      <c r="Y26" s="375"/>
      <c r="Z26" s="301"/>
      <c r="AA26" s="301"/>
      <c r="AB26" s="301"/>
      <c r="AC26" s="301"/>
      <c r="AD26" s="301"/>
    </row>
    <row r="27" spans="1:30" hidden="1">
      <c r="A27" s="138">
        <v>8502272</v>
      </c>
      <c r="B27" s="465" t="s">
        <v>157</v>
      </c>
      <c r="C27" s="105">
        <f>SUMIFS(APN!$I$3:$I$97,APN!$A$3:$A$97,RIGHT(A27,4))</f>
        <v>0</v>
      </c>
      <c r="D27" s="184">
        <f>SUMIFS(APN!$J$3:$J$97,APN!$A$3:$A$97,RIGHT(A27,4))</f>
        <v>0</v>
      </c>
      <c r="E27" s="108">
        <f t="shared" ref="E27:E29" si="20">SUM(C27/12*5)+(D27/12*7)</f>
        <v>0</v>
      </c>
      <c r="F27" s="107">
        <f>SUMIFS(APN!$L$3:$L$97,APN!$A$3:$A$97,RIGHT(Data!A27,4)*1,APN!$H$3:$H$97,Data!J27)</f>
        <v>0</v>
      </c>
      <c r="G27" s="292">
        <f t="shared" ref="G27:G29" si="21">E27-F27</f>
        <v>0</v>
      </c>
      <c r="H27" s="290">
        <v>0</v>
      </c>
      <c r="I27" s="217" t="s">
        <v>212</v>
      </c>
      <c r="J27" s="376" t="s">
        <v>141</v>
      </c>
      <c r="K27" s="139"/>
      <c r="L27" s="213">
        <f>IFERROR(VLOOKUP(RIGHT($A27,4)*1,'Autumn term 2025'!$AA$6:$AM$54,12,FALSE),0)</f>
        <v>0</v>
      </c>
      <c r="M27" s="454">
        <f>IFERROR(VLOOKUP(RIGHT($A27,4)*1,'Autumn term 2025'!$U$6:$X$16,3,FALSE),0)</f>
        <v>0</v>
      </c>
      <c r="N27" s="455">
        <f>IFERROR(VLOOKUP(RIGHT($A27,4)*1,'Autumn term 2025'!$U$6:$X$16,2,FALSE),0)</f>
        <v>0</v>
      </c>
      <c r="O27" s="38"/>
      <c r="P27" s="373"/>
      <c r="Q27" s="374"/>
      <c r="R27" s="301">
        <f t="shared" ref="R27:R29" si="22">IFERROR(ROUND((M27/$L27)*$E27,2),0)</f>
        <v>0</v>
      </c>
      <c r="S27" s="302">
        <f t="shared" ref="S27:S29" si="23">IFERROR(ROUND((N27/$L27)*$E27,2),0)</f>
        <v>0</v>
      </c>
      <c r="T27" s="300"/>
      <c r="U27" s="301"/>
      <c r="V27" s="301"/>
      <c r="W27" s="301"/>
      <c r="X27" s="302"/>
      <c r="Y27" s="375"/>
      <c r="Z27" s="301"/>
      <c r="AA27" s="301"/>
      <c r="AB27" s="301"/>
      <c r="AC27" s="301"/>
      <c r="AD27" s="301"/>
    </row>
    <row r="28" spans="1:30" hidden="1">
      <c r="A28" s="138">
        <v>8502274</v>
      </c>
      <c r="B28" s="465" t="s">
        <v>158</v>
      </c>
      <c r="C28" s="105">
        <f>SUMIFS(APN!$I$3:$I$97,APN!$A$3:$A$97,RIGHT(A28,4))</f>
        <v>0</v>
      </c>
      <c r="D28" s="184">
        <f>SUMIFS(APN!$J$3:$J$97,APN!$A$3:$A$97,RIGHT(A28,4))</f>
        <v>0</v>
      </c>
      <c r="E28" s="108">
        <f t="shared" si="20"/>
        <v>0</v>
      </c>
      <c r="F28" s="107">
        <f>SUMIFS(APN!$L$3:$L$97,APN!$A$3:$A$97,RIGHT(Data!A28,4)*1,APN!$H$3:$H$97,Data!J28)</f>
        <v>0</v>
      </c>
      <c r="G28" s="292">
        <f t="shared" si="21"/>
        <v>0</v>
      </c>
      <c r="H28" s="290">
        <v>0</v>
      </c>
      <c r="I28" s="217" t="s">
        <v>212</v>
      </c>
      <c r="J28" s="376" t="s">
        <v>130</v>
      </c>
      <c r="K28" s="139"/>
      <c r="L28" s="213">
        <f>IFERROR(VLOOKUP(RIGHT($A28,4)*1,'Autumn term 2025'!$AA$6:$AM$54,12,FALSE),0)</f>
        <v>0</v>
      </c>
      <c r="M28" s="454">
        <f>IFERROR(VLOOKUP(RIGHT($A28,4)*1,'Autumn term 2025'!$U$6:$X$16,3,FALSE),0)</f>
        <v>0</v>
      </c>
      <c r="N28" s="455">
        <f>IFERROR(VLOOKUP(RIGHT($A28,4)*1,'Autumn term 2025'!$U$6:$X$16,2,FALSE),0)</f>
        <v>0</v>
      </c>
      <c r="O28" s="38"/>
      <c r="P28" s="373"/>
      <c r="Q28" s="374"/>
      <c r="R28" s="301">
        <f t="shared" si="22"/>
        <v>0</v>
      </c>
      <c r="S28" s="302">
        <f t="shared" si="23"/>
        <v>0</v>
      </c>
      <c r="T28" s="300"/>
      <c r="U28" s="301"/>
      <c r="V28" s="301"/>
      <c r="W28" s="301"/>
      <c r="X28" s="302"/>
      <c r="Y28" s="375"/>
      <c r="Z28" s="301"/>
      <c r="AA28" s="301"/>
      <c r="AB28" s="301"/>
      <c r="AC28" s="301"/>
      <c r="AD28" s="301"/>
    </row>
    <row r="29" spans="1:30" hidden="1">
      <c r="A29" s="138">
        <v>8502310</v>
      </c>
      <c r="B29" s="465" t="s">
        <v>160</v>
      </c>
      <c r="C29" s="105">
        <f>SUMIFS(APN!$I$3:$I$97,APN!$A$3:$A$97,RIGHT(A29,4))</f>
        <v>0</v>
      </c>
      <c r="D29" s="184">
        <f>SUMIFS(APN!$J$3:$J$97,APN!$A$3:$A$97,RIGHT(A29,4))</f>
        <v>0</v>
      </c>
      <c r="E29" s="108">
        <f t="shared" si="20"/>
        <v>0</v>
      </c>
      <c r="F29" s="107">
        <f>SUMIFS(APN!$L$3:$L$97,APN!$A$3:$A$97,RIGHT(Data!A29,4)*1,APN!$H$3:$H$97,Data!J29)</f>
        <v>0</v>
      </c>
      <c r="G29" s="292">
        <f t="shared" si="21"/>
        <v>0</v>
      </c>
      <c r="H29" s="290">
        <v>0</v>
      </c>
      <c r="I29" s="217" t="s">
        <v>212</v>
      </c>
      <c r="J29" s="376" t="s">
        <v>141</v>
      </c>
      <c r="K29" s="139"/>
      <c r="L29" s="213">
        <f>IFERROR(VLOOKUP(RIGHT($A29,4)*1,'Autumn term 2025'!$AA$6:$AM$54,12,FALSE),0)</f>
        <v>0</v>
      </c>
      <c r="M29" s="454">
        <f>IFERROR(VLOOKUP(RIGHT($A29,4)*1,'Autumn term 2025'!$U$6:$X$16,3,FALSE),0)</f>
        <v>0</v>
      </c>
      <c r="N29" s="455">
        <f>IFERROR(VLOOKUP(RIGHT($A29,4)*1,'Autumn term 2025'!$U$6:$X$16,2,FALSE),0)</f>
        <v>0</v>
      </c>
      <c r="O29" s="38"/>
      <c r="P29" s="373"/>
      <c r="Q29" s="374"/>
      <c r="R29" s="301">
        <f t="shared" si="22"/>
        <v>0</v>
      </c>
      <c r="S29" s="302">
        <f t="shared" si="23"/>
        <v>0</v>
      </c>
      <c r="T29" s="300"/>
      <c r="U29" s="301"/>
      <c r="V29" s="301"/>
      <c r="W29" s="301"/>
      <c r="X29" s="302"/>
      <c r="Y29" s="375"/>
      <c r="Z29" s="301"/>
      <c r="AA29" s="301"/>
      <c r="AB29" s="301"/>
      <c r="AC29" s="301"/>
      <c r="AD29" s="301"/>
    </row>
    <row r="30" spans="1:30" hidden="1">
      <c r="A30" s="138">
        <v>8502321</v>
      </c>
      <c r="B30" s="465" t="s">
        <v>161</v>
      </c>
      <c r="C30" s="105">
        <f>SUMIFS(APN!$I$3:$I$97,APN!$A$3:$A$97,RIGHT(A30,4))</f>
        <v>0</v>
      </c>
      <c r="D30" s="184">
        <f>SUMIFS(APN!$J$3:$J$97,APN!$A$3:$A$97,RIGHT(A30,4))</f>
        <v>0</v>
      </c>
      <c r="E30" s="108">
        <f t="shared" si="2"/>
        <v>0</v>
      </c>
      <c r="F30" s="107">
        <f>SUMIFS(APN!$L$3:$L$97,APN!$A$3:$A$97,RIGHT(Data!A30,4)*1,APN!$H$3:$H$97,Data!J30)</f>
        <v>0</v>
      </c>
      <c r="G30" s="292">
        <f t="shared" si="3"/>
        <v>0</v>
      </c>
      <c r="H30" s="290">
        <v>0</v>
      </c>
      <c r="I30" s="217" t="s">
        <v>212</v>
      </c>
      <c r="J30" s="376" t="s">
        <v>141</v>
      </c>
      <c r="K30" s="139"/>
      <c r="L30" s="213">
        <f>IFERROR(VLOOKUP(RIGHT($A30,4)*1,'Autumn term 2025'!$AA$6:$AM$54,12,FALSE),0)</f>
        <v>0</v>
      </c>
      <c r="M30" s="454">
        <f>IFERROR(VLOOKUP(RIGHT($A30,4)*1,'Autumn term 2025'!$U$6:$X$16,3,FALSE),0)</f>
        <v>0</v>
      </c>
      <c r="N30" s="455">
        <f>IFERROR(VLOOKUP(RIGHT($A30,4)*1,'Autumn term 2025'!$U$6:$X$16,2,FALSE),0)</f>
        <v>0</v>
      </c>
      <c r="O30" s="38"/>
      <c r="P30" s="373"/>
      <c r="Q30" s="374"/>
      <c r="R30" s="301">
        <f t="shared" si="0"/>
        <v>0</v>
      </c>
      <c r="S30" s="302">
        <f t="shared" si="1"/>
        <v>0</v>
      </c>
      <c r="T30" s="300"/>
      <c r="U30" s="301"/>
      <c r="V30" s="301"/>
      <c r="W30" s="301"/>
      <c r="X30" s="302"/>
      <c r="Y30" s="375"/>
      <c r="Z30" s="301"/>
      <c r="AA30" s="301"/>
      <c r="AB30" s="301"/>
      <c r="AC30" s="301"/>
      <c r="AD30" s="301"/>
    </row>
    <row r="31" spans="1:30" hidden="1">
      <c r="A31" s="138">
        <v>8502339</v>
      </c>
      <c r="B31" s="138" t="s">
        <v>162</v>
      </c>
      <c r="C31" s="105">
        <f>SUMIFS(APN!$I$3:$I$97,APN!$A$3:$A$97,RIGHT(A31,4))</f>
        <v>6</v>
      </c>
      <c r="D31" s="184">
        <f>SUMIFS(APN!$J$3:$J$97,APN!$A$3:$A$97,RIGHT(A31,4))</f>
        <v>9</v>
      </c>
      <c r="E31" s="108">
        <f t="shared" ref="E31" si="24">SUM(C31/12*5)+(D31/12*7)</f>
        <v>7.75</v>
      </c>
      <c r="F31" s="107">
        <f>SUMIFS(APN!$L$3:$L$97,APN!$A$3:$A$97,RIGHT(Data!A31,4)*1,APN!$H$3:$H$97,Data!J31)</f>
        <v>7.75</v>
      </c>
      <c r="G31" s="292">
        <f t="shared" ref="G31" si="25">E31-F31</f>
        <v>0</v>
      </c>
      <c r="H31" s="290">
        <v>0</v>
      </c>
      <c r="I31" s="217" t="s">
        <v>212</v>
      </c>
      <c r="J31" s="376" t="s">
        <v>141</v>
      </c>
      <c r="K31" s="139"/>
      <c r="L31" s="213">
        <f>IFERROR(VLOOKUP(RIGHT($A31,4)*1,'Autumn term 2025'!$AA$6:$AM$54,12,FALSE),0)</f>
        <v>0</v>
      </c>
      <c r="M31" s="454">
        <f>IFERROR(VLOOKUP(RIGHT($A31,4)*1,'Autumn term 2025'!$U$6:$X$16,3,FALSE),0)</f>
        <v>0</v>
      </c>
      <c r="N31" s="455">
        <f>IFERROR(VLOOKUP(RIGHT($A31,4)*1,'Autumn term 2025'!$U$6:$X$16,2,FALSE),0)</f>
        <v>0</v>
      </c>
      <c r="O31" s="38"/>
      <c r="P31" s="373"/>
      <c r="Q31" s="374"/>
      <c r="R31" s="301">
        <f t="shared" ref="R31" si="26">IFERROR(ROUND((M31/$L31)*$E31,2),0)</f>
        <v>0</v>
      </c>
      <c r="S31" s="302">
        <f t="shared" ref="S31" si="27">IFERROR(ROUND((N31/$L31)*$E31,2),0)</f>
        <v>0</v>
      </c>
      <c r="T31" s="300"/>
      <c r="U31" s="301"/>
      <c r="V31" s="301"/>
      <c r="W31" s="301"/>
      <c r="X31" s="302"/>
      <c r="Y31" s="375"/>
      <c r="Z31" s="301"/>
      <c r="AA31" s="301"/>
      <c r="AB31" s="301"/>
      <c r="AC31" s="301"/>
      <c r="AD31" s="301"/>
    </row>
    <row r="32" spans="1:30" hidden="1">
      <c r="A32" s="138">
        <v>8502347</v>
      </c>
      <c r="B32" s="138" t="s">
        <v>15</v>
      </c>
      <c r="C32" s="105">
        <f>SUMIFS(APN!$I$3:$I$97,APN!$A$3:$A$97,RIGHT(A32,4))</f>
        <v>9</v>
      </c>
      <c r="D32" s="184">
        <f>SUMIFS(APN!$J$3:$J$97,APN!$A$3:$A$97,RIGHT(A32,4))</f>
        <v>9</v>
      </c>
      <c r="E32" s="108">
        <f t="shared" si="2"/>
        <v>9</v>
      </c>
      <c r="F32" s="107">
        <f>SUMIFS(APN!$L$3:$L$97,APN!$A$3:$A$97,RIGHT(Data!A32,4)*1,APN!$H$3:$H$97,Data!J32)</f>
        <v>9</v>
      </c>
      <c r="G32" s="292">
        <f t="shared" si="3"/>
        <v>0</v>
      </c>
      <c r="H32" s="290">
        <v>0</v>
      </c>
      <c r="I32" s="217" t="s">
        <v>212</v>
      </c>
      <c r="J32" s="376" t="s">
        <v>214</v>
      </c>
      <c r="K32" s="139"/>
      <c r="L32" s="213">
        <f>IFERROR(VLOOKUP(RIGHT($A32,4)*1,'Autumn term 2025'!$AA$6:$AM$54,12,FALSE),0)</f>
        <v>10</v>
      </c>
      <c r="M32" s="454">
        <f>IFERROR(VLOOKUP(RIGHT($A32,4)*1,'Autumn term 2025'!$U$6:$X$16,3,FALSE),0)</f>
        <v>6</v>
      </c>
      <c r="N32" s="455">
        <f>IFERROR(VLOOKUP(RIGHT($A32,4)*1,'Autumn term 2025'!$U$6:$X$16,2,FALSE),0)</f>
        <v>0</v>
      </c>
      <c r="O32" s="38"/>
      <c r="P32" s="373"/>
      <c r="Q32" s="374" t="s">
        <v>214</v>
      </c>
      <c r="R32" s="301">
        <f t="shared" si="0"/>
        <v>5.4</v>
      </c>
      <c r="S32" s="302">
        <f t="shared" si="1"/>
        <v>0</v>
      </c>
      <c r="T32" s="300"/>
      <c r="U32" s="301"/>
      <c r="V32" s="301"/>
      <c r="W32" s="301"/>
      <c r="X32" s="302"/>
      <c r="Y32" s="375"/>
      <c r="Z32" s="301"/>
      <c r="AA32" s="301"/>
      <c r="AB32" s="301"/>
      <c r="AC32" s="301"/>
      <c r="AD32" s="301"/>
    </row>
    <row r="33" spans="1:30" hidden="1">
      <c r="A33" s="138">
        <v>8502377</v>
      </c>
      <c r="B33" s="138" t="s">
        <v>16</v>
      </c>
      <c r="C33" s="105">
        <f>SUMIFS(APN!$I$3:$I$97,APN!$A$3:$A$97,RIGHT(A33,4))</f>
        <v>10</v>
      </c>
      <c r="D33" s="184">
        <f>SUMIFS(APN!$J$3:$J$97,APN!$A$3:$A$97,RIGHT(A33,4))</f>
        <v>10</v>
      </c>
      <c r="E33" s="108">
        <f t="shared" si="2"/>
        <v>10</v>
      </c>
      <c r="F33" s="107">
        <f>SUMIFS(APN!$L$3:$L$97,APN!$A$3:$A$97,RIGHT(Data!A33,4)*1,APN!$H$3:$H$97,Data!J33)</f>
        <v>10</v>
      </c>
      <c r="G33" s="292">
        <f t="shared" si="3"/>
        <v>0</v>
      </c>
      <c r="H33" s="290">
        <v>0</v>
      </c>
      <c r="I33" s="217" t="s">
        <v>212</v>
      </c>
      <c r="J33" s="376" t="s">
        <v>143</v>
      </c>
      <c r="K33" s="139"/>
      <c r="L33" s="213">
        <f>IFERROR(VLOOKUP(RIGHT($A33,4)*1,'Autumn term 2025'!$AA$6:$AM$54,12,FALSE),0)</f>
        <v>10</v>
      </c>
      <c r="M33" s="454">
        <f>IFERROR(VLOOKUP(RIGHT($A33,4)*1,'Autumn term 2025'!$U$6:$X$16,3,FALSE),0)</f>
        <v>0</v>
      </c>
      <c r="N33" s="455">
        <f>IFERROR(VLOOKUP(RIGHT($A33,4)*1,'Autumn term 2025'!$U$6:$X$16,2,FALSE),0)</f>
        <v>0</v>
      </c>
      <c r="O33" s="38"/>
      <c r="P33" s="373"/>
      <c r="Q33" s="374"/>
      <c r="R33" s="301">
        <f t="shared" si="0"/>
        <v>0</v>
      </c>
      <c r="S33" s="302">
        <f t="shared" si="1"/>
        <v>0</v>
      </c>
      <c r="T33" s="300"/>
      <c r="U33" s="301"/>
      <c r="V33" s="301"/>
      <c r="W33" s="301"/>
      <c r="X33" s="302"/>
      <c r="Y33" s="375"/>
      <c r="Z33" s="301"/>
      <c r="AA33" s="301"/>
      <c r="AB33" s="301"/>
      <c r="AC33" s="301"/>
      <c r="AD33" s="301"/>
    </row>
    <row r="34" spans="1:30" hidden="1">
      <c r="A34" s="138">
        <v>8502520</v>
      </c>
      <c r="B34" s="138" t="s">
        <v>17</v>
      </c>
      <c r="C34" s="105">
        <f>SUMIFS(APN!$I$3:$I$97,APN!$A$3:$A$97,RIGHT(A34,4))</f>
        <v>6</v>
      </c>
      <c r="D34" s="184">
        <f>SUMIFS(APN!$J$3:$J$97,APN!$A$3:$A$97,RIGHT(A34,4))</f>
        <v>6</v>
      </c>
      <c r="E34" s="108">
        <f t="shared" si="2"/>
        <v>6</v>
      </c>
      <c r="F34" s="107">
        <f>SUMIFS(APN!$L$3:$L$97,APN!$A$3:$A$97,RIGHT(Data!A34,4)*1,APN!$H$3:$H$97,Data!J34)</f>
        <v>6</v>
      </c>
      <c r="G34" s="292">
        <f t="shared" si="3"/>
        <v>0</v>
      </c>
      <c r="H34" s="290">
        <v>0</v>
      </c>
      <c r="I34" s="217" t="s">
        <v>212</v>
      </c>
      <c r="J34" s="376" t="s">
        <v>215</v>
      </c>
      <c r="K34" s="139"/>
      <c r="L34" s="213">
        <f>IFERROR(VLOOKUP(RIGHT($A34,4)*1,'Autumn term 2025'!$AA$6:$AM$54,12,FALSE),0)</f>
        <v>3</v>
      </c>
      <c r="M34" s="454">
        <f>IFERROR(VLOOKUP(RIGHT($A34,4)*1,'Autumn term 2025'!$U$6:$X$16,3,FALSE),0)</f>
        <v>0</v>
      </c>
      <c r="N34" s="455">
        <f>IFERROR(VLOOKUP(RIGHT($A34,4)*1,'Autumn term 2025'!$U$6:$X$16,2,FALSE),0)</f>
        <v>3</v>
      </c>
      <c r="O34" s="38"/>
      <c r="P34" s="373"/>
      <c r="Q34" s="374" t="s">
        <v>215</v>
      </c>
      <c r="R34" s="301">
        <f t="shared" si="0"/>
        <v>0</v>
      </c>
      <c r="S34" s="302">
        <f t="shared" si="1"/>
        <v>6</v>
      </c>
      <c r="T34" s="300"/>
      <c r="U34" s="301"/>
      <c r="V34" s="301"/>
      <c r="W34" s="301"/>
      <c r="X34" s="302"/>
      <c r="Y34" s="375"/>
      <c r="Z34" s="301"/>
      <c r="AA34" s="301"/>
      <c r="AB34" s="301"/>
      <c r="AC34" s="301"/>
      <c r="AD34" s="301"/>
    </row>
    <row r="35" spans="1:30" hidden="1">
      <c r="A35" s="138">
        <v>8502531</v>
      </c>
      <c r="B35" s="138" t="s">
        <v>18</v>
      </c>
      <c r="C35" s="105">
        <f>SUMIFS(APN!$I$3:$I$97,APN!$A$3:$A$97,RIGHT(A35,4))</f>
        <v>20</v>
      </c>
      <c r="D35" s="184">
        <f>SUMIFS(APN!$J$3:$J$97,APN!$A$3:$A$97,RIGHT(A35,4))</f>
        <v>20</v>
      </c>
      <c r="E35" s="108">
        <f t="shared" si="2"/>
        <v>20</v>
      </c>
      <c r="F35" s="107">
        <f>SUMIFS(APN!$L$3:$L$97,APN!$A$3:$A$97,RIGHT(Data!A35,4)*1,APN!$H$3:$H$97,Data!J35)</f>
        <v>20</v>
      </c>
      <c r="G35" s="292">
        <f t="shared" si="3"/>
        <v>0</v>
      </c>
      <c r="H35" s="290">
        <v>0</v>
      </c>
      <c r="I35" s="217" t="s">
        <v>212</v>
      </c>
      <c r="J35" s="376" t="s">
        <v>143</v>
      </c>
      <c r="K35" s="139"/>
      <c r="L35" s="213">
        <f>IFERROR(VLOOKUP(RIGHT($A35,4)*1,'Autumn term 2025'!$AA$6:$AM$54,12,FALSE),0)</f>
        <v>20</v>
      </c>
      <c r="M35" s="454">
        <f>IFERROR(VLOOKUP(RIGHT($A35,4)*1,'Autumn term 2025'!$U$6:$X$16,3,FALSE),0)</f>
        <v>0</v>
      </c>
      <c r="N35" s="455">
        <f>IFERROR(VLOOKUP(RIGHT($A35,4)*1,'Autumn term 2025'!$U$6:$X$16,2,FALSE),0)</f>
        <v>0</v>
      </c>
      <c r="O35" s="38"/>
      <c r="P35" s="373"/>
      <c r="Q35" s="374"/>
      <c r="R35" s="301">
        <f t="shared" si="0"/>
        <v>0</v>
      </c>
      <c r="S35" s="302">
        <f t="shared" si="1"/>
        <v>0</v>
      </c>
      <c r="T35" s="300"/>
      <c r="U35" s="301"/>
      <c r="V35" s="301"/>
      <c r="W35" s="301"/>
      <c r="X35" s="302"/>
      <c r="Y35" s="375"/>
      <c r="Z35" s="301"/>
      <c r="AA35" s="301"/>
      <c r="AB35" s="301"/>
      <c r="AC35" s="301"/>
      <c r="AD35" s="301"/>
    </row>
    <row r="36" spans="1:30" hidden="1">
      <c r="A36" s="185">
        <v>8502533</v>
      </c>
      <c r="B36" s="185" t="s">
        <v>19</v>
      </c>
      <c r="C36" s="105">
        <f>SUMIFS(APN!$I$3:$I$97,APN!$A$3:$A$97,RIGHT(A36,4))</f>
        <v>24</v>
      </c>
      <c r="D36" s="184">
        <f>SUMIFS(APN!$J$3:$J$97,APN!$A$3:$A$97,RIGHT(A36,4))</f>
        <v>24</v>
      </c>
      <c r="E36" s="108">
        <f t="shared" si="2"/>
        <v>24</v>
      </c>
      <c r="F36" s="107">
        <f>SUMIFS(APN!$L$3:$L$97,APN!$A$3:$A$97,RIGHT(Data!A36,4)*1,APN!$H$3:$H$97,Data!J36)</f>
        <v>16</v>
      </c>
      <c r="G36" s="292">
        <f t="shared" si="3"/>
        <v>8</v>
      </c>
      <c r="H36" s="290">
        <v>0</v>
      </c>
      <c r="I36" s="217" t="s">
        <v>212</v>
      </c>
      <c r="J36" s="376" t="s">
        <v>142</v>
      </c>
      <c r="K36" s="139"/>
      <c r="L36" s="213">
        <f>IFERROR(VLOOKUP(RIGHT($A36,4)*1,'Autumn term 2025'!$AA$6:$AM$54,12,FALSE),0)</f>
        <v>14</v>
      </c>
      <c r="M36" s="454">
        <f>IFERROR(VLOOKUP(RIGHT($A36,4)*1,'Autumn term 2025'!$U$6:$X$16,3,FALSE),0)</f>
        <v>0</v>
      </c>
      <c r="N36" s="455">
        <f>IFERROR(VLOOKUP(RIGHT($A36,4)*1,'Autumn term 2025'!$U$6:$X$16,2,FALSE),0)</f>
        <v>0</v>
      </c>
      <c r="O36" s="38"/>
      <c r="P36" s="373"/>
      <c r="Q36" s="374" t="s">
        <v>141</v>
      </c>
      <c r="R36" s="301">
        <f t="shared" si="0"/>
        <v>0</v>
      </c>
      <c r="S36" s="302">
        <f t="shared" si="1"/>
        <v>0</v>
      </c>
      <c r="T36" s="300"/>
      <c r="U36" s="301">
        <f>G36</f>
        <v>8</v>
      </c>
      <c r="V36" s="301"/>
      <c r="W36" s="301"/>
      <c r="X36" s="302"/>
      <c r="Y36" s="375"/>
      <c r="Z36" s="301"/>
      <c r="AA36" s="301"/>
      <c r="AB36" s="301"/>
      <c r="AC36" s="301"/>
      <c r="AD36" s="301"/>
    </row>
    <row r="37" spans="1:30" hidden="1">
      <c r="A37" s="185">
        <v>8502534</v>
      </c>
      <c r="B37" s="185" t="s">
        <v>20</v>
      </c>
      <c r="C37" s="105">
        <f>SUMIFS(APN!$I$3:$I$97,APN!$A$3:$A$97,RIGHT(A37,4))</f>
        <v>23</v>
      </c>
      <c r="D37" s="184">
        <f>SUMIFS(APN!$J$3:$J$97,APN!$A$3:$A$97,RIGHT(A37,4))</f>
        <v>23</v>
      </c>
      <c r="E37" s="108">
        <f t="shared" si="2"/>
        <v>23</v>
      </c>
      <c r="F37" s="107">
        <f>SUMIFS(APN!$L$3:$L$97,APN!$A$3:$A$97,RIGHT(Data!A37,4)*1,APN!$H$3:$H$97,Data!J37)</f>
        <v>15</v>
      </c>
      <c r="G37" s="292">
        <f t="shared" si="3"/>
        <v>8</v>
      </c>
      <c r="H37" s="290">
        <v>0</v>
      </c>
      <c r="I37" s="217" t="s">
        <v>212</v>
      </c>
      <c r="J37" s="376" t="s">
        <v>142</v>
      </c>
      <c r="K37" s="139"/>
      <c r="L37" s="213">
        <f>IFERROR(VLOOKUP(RIGHT($A37,4)*1,'Autumn term 2025'!$AA$6:$AM$54,12,FALSE),0)</f>
        <v>13</v>
      </c>
      <c r="M37" s="454">
        <f>IFERROR(VLOOKUP(RIGHT($A37,4)*1,'Autumn term 2025'!$U$6:$X$16,3,FALSE),0)</f>
        <v>0</v>
      </c>
      <c r="N37" s="455">
        <f>IFERROR(VLOOKUP(RIGHT($A37,4)*1,'Autumn term 2025'!$U$6:$X$16,2,FALSE),0)</f>
        <v>0</v>
      </c>
      <c r="O37" s="38"/>
      <c r="P37" s="373"/>
      <c r="Q37" s="374" t="s">
        <v>141</v>
      </c>
      <c r="R37" s="301">
        <f t="shared" si="0"/>
        <v>0</v>
      </c>
      <c r="S37" s="302">
        <f t="shared" si="1"/>
        <v>0</v>
      </c>
      <c r="T37" s="300"/>
      <c r="U37" s="301">
        <f>G37</f>
        <v>8</v>
      </c>
      <c r="V37" s="301"/>
      <c r="W37" s="301"/>
      <c r="X37" s="302"/>
      <c r="Y37" s="375"/>
      <c r="Z37" s="301"/>
      <c r="AA37" s="301"/>
      <c r="AB37" s="301"/>
      <c r="AC37" s="301"/>
      <c r="AD37" s="301"/>
    </row>
    <row r="38" spans="1:30" hidden="1">
      <c r="A38" s="138">
        <v>8502732</v>
      </c>
      <c r="B38" s="138" t="s">
        <v>21</v>
      </c>
      <c r="C38" s="105">
        <f>SUMIFS(APN!$I$3:$I$97,APN!$A$3:$A$97,RIGHT(A38,4))</f>
        <v>6</v>
      </c>
      <c r="D38" s="184">
        <f>SUMIFS(APN!$J$3:$J$97,APN!$A$3:$A$97,RIGHT(A38,4))</f>
        <v>6</v>
      </c>
      <c r="E38" s="108">
        <f t="shared" si="2"/>
        <v>6</v>
      </c>
      <c r="F38" s="107">
        <f>SUMIFS(APN!$L$3:$L$97,APN!$A$3:$A$97,RIGHT(Data!A38,4)*1,APN!$H$3:$H$97,Data!J38)</f>
        <v>6</v>
      </c>
      <c r="G38" s="292">
        <f t="shared" si="3"/>
        <v>0</v>
      </c>
      <c r="H38" s="290">
        <v>0</v>
      </c>
      <c r="I38" s="217" t="s">
        <v>212</v>
      </c>
      <c r="J38" s="376" t="s">
        <v>215</v>
      </c>
      <c r="K38" s="139"/>
      <c r="L38" s="213">
        <f>IFERROR(VLOOKUP(RIGHT($A38,4)*1,'Autumn term 2025'!$AA$6:$AM$54,12,FALSE),0)</f>
        <v>5</v>
      </c>
      <c r="M38" s="454">
        <f>IFERROR(VLOOKUP(RIGHT($A38,4)*1,'Autumn term 2025'!$U$6:$X$16,3,FALSE),0)</f>
        <v>0</v>
      </c>
      <c r="N38" s="455">
        <f>IFERROR(VLOOKUP(RIGHT($A38,4)*1,'Autumn term 2025'!$U$6:$X$16,2,FALSE),0)</f>
        <v>2</v>
      </c>
      <c r="O38" s="38"/>
      <c r="P38" s="373"/>
      <c r="Q38" s="374" t="s">
        <v>215</v>
      </c>
      <c r="R38" s="301">
        <f t="shared" si="0"/>
        <v>0</v>
      </c>
      <c r="S38" s="302">
        <f t="shared" si="1"/>
        <v>2.4</v>
      </c>
      <c r="T38" s="300"/>
      <c r="U38" s="301"/>
      <c r="V38" s="301"/>
      <c r="W38" s="301"/>
      <c r="X38" s="302"/>
      <c r="Y38" s="375"/>
      <c r="Z38" s="301"/>
      <c r="AA38" s="301"/>
      <c r="AB38" s="301"/>
      <c r="AC38" s="301"/>
      <c r="AD38" s="301"/>
    </row>
    <row r="39" spans="1:30" hidden="1">
      <c r="A39" s="138">
        <v>8502270</v>
      </c>
      <c r="B39" s="138" t="s">
        <v>156</v>
      </c>
      <c r="C39" s="105">
        <f>SUMIFS(APN!$I$3:$I$97,APN!$A$3:$A$97,RIGHT(A39,4))</f>
        <v>5</v>
      </c>
      <c r="D39" s="184">
        <f>SUMIFS(APN!$J$3:$J$97,APN!$A$3:$A$97,RIGHT(A39,4))</f>
        <v>7</v>
      </c>
      <c r="E39" s="108">
        <f t="shared" ref="E39" si="28">SUM(C39/12*5)+(D39/12*7)</f>
        <v>6.1666666666666679</v>
      </c>
      <c r="F39" s="107">
        <f>SUMIFS(APN!$L$3:$L$97,APN!$A$3:$A$97,RIGHT(Data!A39,4)*1,APN!$H$3:$H$97,Data!J39)</f>
        <v>6.1666666666666661</v>
      </c>
      <c r="G39" s="292">
        <f t="shared" ref="G39" si="29">E39-F39</f>
        <v>0</v>
      </c>
      <c r="H39" s="290">
        <v>0</v>
      </c>
      <c r="I39" s="217" t="s">
        <v>212</v>
      </c>
      <c r="J39" s="376" t="s">
        <v>141</v>
      </c>
      <c r="K39" s="139"/>
      <c r="L39" s="213">
        <f>IFERROR(VLOOKUP(RIGHT($A39,4)*1,'Autumn term 2025'!$AA$6:$AM$54,12,FALSE),0)</f>
        <v>0</v>
      </c>
      <c r="M39" s="454">
        <f>IFERROR(VLOOKUP(RIGHT($A39,4)*1,'Autumn term 2025'!$U$6:$X$16,3,FALSE),0)</f>
        <v>0</v>
      </c>
      <c r="N39" s="455">
        <f>IFERROR(VLOOKUP(RIGHT($A39,4)*1,'Autumn term 2025'!$U$6:$X$16,2,FALSE),0)</f>
        <v>0</v>
      </c>
      <c r="O39" s="38"/>
      <c r="P39" s="373"/>
      <c r="Q39" s="374"/>
      <c r="R39" s="301">
        <f t="shared" ref="R39" si="30">IFERROR(ROUND((M39/$L39)*$E39,2),0)</f>
        <v>0</v>
      </c>
      <c r="S39" s="302">
        <f t="shared" ref="S39" si="31">IFERROR(ROUND((N39/$L39)*$E39,2),0)</f>
        <v>0</v>
      </c>
      <c r="T39" s="300"/>
      <c r="U39" s="301"/>
      <c r="V39" s="301"/>
      <c r="W39" s="301"/>
      <c r="X39" s="302"/>
      <c r="Y39" s="375"/>
      <c r="Z39" s="301"/>
      <c r="AA39" s="301"/>
      <c r="AB39" s="301"/>
      <c r="AC39" s="301"/>
      <c r="AD39" s="301"/>
    </row>
    <row r="40" spans="1:30" hidden="1">
      <c r="A40" s="185">
        <v>8502774</v>
      </c>
      <c r="B40" s="185" t="s">
        <v>22</v>
      </c>
      <c r="C40" s="105">
        <f>SUMIFS(APN!$I$3:$I$97,APN!$A$3:$A$97,RIGHT(A40,4))</f>
        <v>24</v>
      </c>
      <c r="D40" s="184">
        <f>SUMIFS(APN!$J$3:$J$97,APN!$A$3:$A$97,RIGHT(A40,4))</f>
        <v>24</v>
      </c>
      <c r="E40" s="108">
        <f t="shared" si="2"/>
        <v>24</v>
      </c>
      <c r="F40" s="107">
        <f>SUMIFS(APN!$L$3:$L$97,APN!$A$3:$A$97,RIGHT(Data!A40,4)*1,APN!$H$3:$H$97,Data!J40)</f>
        <v>11.333333333333334</v>
      </c>
      <c r="G40" s="292">
        <f t="shared" si="3"/>
        <v>12.666666666666666</v>
      </c>
      <c r="H40" s="290">
        <f>E40-SUM(F40:G40)</f>
        <v>0</v>
      </c>
      <c r="I40" s="217" t="s">
        <v>212</v>
      </c>
      <c r="J40" s="376" t="s">
        <v>142</v>
      </c>
      <c r="K40" s="139"/>
      <c r="L40" s="213">
        <f>IFERROR(VLOOKUP(RIGHT($A40,4)*1,'Autumn term 2025'!$AA$6:$AM$54,12,FALSE),0)</f>
        <v>24</v>
      </c>
      <c r="M40" s="454">
        <f>IFERROR(VLOOKUP(RIGHT($A40,4)*1,'Autumn term 2025'!$U$6:$X$16,3,FALSE),0)</f>
        <v>0</v>
      </c>
      <c r="N40" s="455">
        <f>IFERROR(VLOOKUP(RIGHT($A40,4)*1,'Autumn term 2025'!$U$6:$X$16,2,FALSE),0)</f>
        <v>0</v>
      </c>
      <c r="O40" s="38"/>
      <c r="P40" s="373"/>
      <c r="Q40" s="374" t="s">
        <v>141</v>
      </c>
      <c r="R40" s="301">
        <f t="shared" si="0"/>
        <v>0</v>
      </c>
      <c r="S40" s="302">
        <f t="shared" si="1"/>
        <v>0</v>
      </c>
      <c r="T40" s="300"/>
      <c r="U40" s="301">
        <f>G40</f>
        <v>12.666666666666666</v>
      </c>
      <c r="V40" s="301"/>
      <c r="W40" s="301"/>
      <c r="X40" s="302"/>
      <c r="Y40" s="375"/>
      <c r="Z40" s="301"/>
      <c r="AA40" s="301"/>
      <c r="AB40" s="301"/>
      <c r="AC40" s="301"/>
      <c r="AD40" s="301"/>
    </row>
    <row r="41" spans="1:30" hidden="1">
      <c r="A41" s="138">
        <v>8502776</v>
      </c>
      <c r="B41" s="138" t="s">
        <v>23</v>
      </c>
      <c r="C41" s="105">
        <f>SUMIFS(APN!$I$3:$I$97,APN!$A$3:$A$97,RIGHT(A41,4))</f>
        <v>18</v>
      </c>
      <c r="D41" s="184">
        <f>SUMIFS(APN!$J$3:$J$97,APN!$A$3:$A$97,RIGHT(A41,4))</f>
        <v>23</v>
      </c>
      <c r="E41" s="108">
        <f t="shared" si="2"/>
        <v>20.916666666666668</v>
      </c>
      <c r="F41" s="107">
        <f>SUMIFS(APN!$L$3:$L$97,APN!$A$3:$A$97,RIGHT(Data!A41,4)*1,APN!$H$3:$H$97,Data!J41)</f>
        <v>20.916666666666664</v>
      </c>
      <c r="G41" s="292">
        <f t="shared" ref="G41:G81" si="32">E41-F41</f>
        <v>0</v>
      </c>
      <c r="H41" s="290">
        <v>0</v>
      </c>
      <c r="I41" s="217" t="s">
        <v>212</v>
      </c>
      <c r="J41" s="376" t="s">
        <v>130</v>
      </c>
      <c r="K41" s="139"/>
      <c r="L41" s="213">
        <f>IFERROR(VLOOKUP(RIGHT($A41,4)*1,'Autumn term 2025'!$AA$6:$AM$54,12,FALSE),0)</f>
        <v>12</v>
      </c>
      <c r="M41" s="454">
        <f>IFERROR(VLOOKUP(RIGHT($A41,4)*1,'Autumn term 2025'!$U$6:$X$16,3,FALSE),0)</f>
        <v>0</v>
      </c>
      <c r="N41" s="455">
        <f>IFERROR(VLOOKUP(RIGHT($A41,4)*1,'Autumn term 2025'!$U$6:$X$16,2,FALSE),0)</f>
        <v>0</v>
      </c>
      <c r="O41" s="38"/>
      <c r="P41" s="373"/>
      <c r="Q41" s="374"/>
      <c r="R41" s="301">
        <f t="shared" si="0"/>
        <v>0</v>
      </c>
      <c r="S41" s="302">
        <f t="shared" si="1"/>
        <v>0</v>
      </c>
      <c r="T41" s="300"/>
      <c r="U41" s="301"/>
      <c r="V41" s="301"/>
      <c r="W41" s="301"/>
      <c r="X41" s="302"/>
      <c r="Y41" s="375"/>
      <c r="Z41" s="301"/>
      <c r="AA41" s="301"/>
      <c r="AB41" s="301"/>
      <c r="AC41" s="301"/>
      <c r="AD41" s="301"/>
    </row>
    <row r="42" spans="1:30" hidden="1">
      <c r="A42" s="185">
        <v>8502777</v>
      </c>
      <c r="B42" s="185" t="s">
        <v>24</v>
      </c>
      <c r="C42" s="105">
        <f>SUMIFS(APN!$I$3:$I$97,APN!$A$3:$A$97,RIGHT(A42,4))</f>
        <v>36</v>
      </c>
      <c r="D42" s="184">
        <f>SUMIFS(APN!$J$3:$J$97,APN!$A$3:$A$97,RIGHT(A42,4))</f>
        <v>36</v>
      </c>
      <c r="E42" s="108">
        <f t="shared" si="2"/>
        <v>36</v>
      </c>
      <c r="F42" s="107">
        <f>SUMIFS(APN!$L$3:$L$97,APN!$A$3:$A$97,RIGHT(Data!A42,4)*1,APN!$H$3:$H$97,Data!J42)</f>
        <v>1.25</v>
      </c>
      <c r="G42" s="292">
        <f t="shared" si="32"/>
        <v>34.75</v>
      </c>
      <c r="H42" s="290">
        <v>0</v>
      </c>
      <c r="I42" s="217" t="s">
        <v>212</v>
      </c>
      <c r="J42" s="376" t="s">
        <v>142</v>
      </c>
      <c r="K42" s="139"/>
      <c r="L42" s="213">
        <f>IFERROR(VLOOKUP(RIGHT($A42,4)*1,'Autumn term 2025'!$AA$6:$AM$54,12,FALSE),0)</f>
        <v>27</v>
      </c>
      <c r="M42" s="454">
        <f>IFERROR(VLOOKUP(RIGHT($A42,4)*1,'Autumn term 2025'!$U$6:$X$16,3,FALSE),0)</f>
        <v>0</v>
      </c>
      <c r="N42" s="455">
        <f>IFERROR(VLOOKUP(RIGHT($A42,4)*1,'Autumn term 2025'!$U$6:$X$16,2,FALSE),0)</f>
        <v>0</v>
      </c>
      <c r="O42" s="38"/>
      <c r="P42" s="373"/>
      <c r="Q42" s="374" t="s">
        <v>141</v>
      </c>
      <c r="R42" s="301">
        <f t="shared" si="0"/>
        <v>0</v>
      </c>
      <c r="S42" s="302">
        <f t="shared" si="1"/>
        <v>0</v>
      </c>
      <c r="T42" s="300"/>
      <c r="U42" s="301">
        <f>G42</f>
        <v>34.75</v>
      </c>
      <c r="V42" s="301"/>
      <c r="W42" s="301"/>
      <c r="X42" s="302"/>
      <c r="Y42" s="375"/>
      <c r="Z42" s="301"/>
      <c r="AA42" s="301"/>
      <c r="AB42" s="301"/>
      <c r="AC42" s="301"/>
      <c r="AD42" s="301"/>
    </row>
    <row r="43" spans="1:30" hidden="1">
      <c r="A43" s="138">
        <v>8503101</v>
      </c>
      <c r="B43" s="138" t="s">
        <v>25</v>
      </c>
      <c r="C43" s="105">
        <f>SUMIFS(APN!$I$3:$I$97,APN!$A$3:$A$97,RIGHT(A43,4))</f>
        <v>14</v>
      </c>
      <c r="D43" s="184">
        <f>SUMIFS(APN!$J$3:$J$97,APN!$A$3:$A$97,RIGHT(A43,4))</f>
        <v>14</v>
      </c>
      <c r="E43" s="108">
        <f t="shared" si="2"/>
        <v>14.000000000000002</v>
      </c>
      <c r="F43" s="107">
        <f>SUMIFS(APN!$L$3:$L$97,APN!$A$3:$A$97,RIGHT(Data!A43,4)*1,APN!$H$3:$H$97,Data!J43)</f>
        <v>14</v>
      </c>
      <c r="G43" s="292">
        <f t="shared" si="32"/>
        <v>0</v>
      </c>
      <c r="H43" s="290">
        <v>0</v>
      </c>
      <c r="I43" s="217" t="s">
        <v>212</v>
      </c>
      <c r="J43" s="376" t="s">
        <v>215</v>
      </c>
      <c r="K43" s="139"/>
      <c r="L43" s="213">
        <f>IFERROR(VLOOKUP(RIGHT($A43,4)*1,'Autumn term 2025'!$AA$6:$AM$54,12,FALSE),0)</f>
        <v>9</v>
      </c>
      <c r="M43" s="454">
        <f>IFERROR(VLOOKUP(RIGHT($A43,4)*1,'Autumn term 2025'!$U$6:$X$16,3,FALSE),0)</f>
        <v>0</v>
      </c>
      <c r="N43" s="455">
        <f>IFERROR(VLOOKUP(RIGHT($A43,4)*1,'Autumn term 2025'!$U$6:$X$16,2,FALSE),0)</f>
        <v>8</v>
      </c>
      <c r="O43" s="38"/>
      <c r="P43" s="373"/>
      <c r="Q43" s="374" t="s">
        <v>215</v>
      </c>
      <c r="R43" s="301">
        <f t="shared" si="0"/>
        <v>0</v>
      </c>
      <c r="S43" s="302">
        <f t="shared" si="1"/>
        <v>12.44</v>
      </c>
      <c r="T43" s="300"/>
      <c r="U43" s="301"/>
      <c r="V43" s="301"/>
      <c r="W43" s="301"/>
      <c r="X43" s="302"/>
      <c r="Y43" s="375"/>
      <c r="Z43" s="301"/>
      <c r="AA43" s="301"/>
      <c r="AB43" s="301"/>
      <c r="AC43" s="301"/>
      <c r="AD43" s="301"/>
    </row>
    <row r="44" spans="1:30" hidden="1">
      <c r="A44" s="138">
        <v>8503124</v>
      </c>
      <c r="B44" s="138" t="s">
        <v>163</v>
      </c>
      <c r="C44" s="105">
        <f>SUMIFS(APN!$I$3:$I$97,APN!$A$3:$A$97,RIGHT(A44,4))</f>
        <v>8</v>
      </c>
      <c r="D44" s="184">
        <f>SUMIFS(APN!$J$3:$J$97,APN!$A$3:$A$97,RIGHT(A44,4))</f>
        <v>8</v>
      </c>
      <c r="E44" s="108">
        <f t="shared" si="2"/>
        <v>7.9999999999999991</v>
      </c>
      <c r="F44" s="107">
        <f>SUMIFS(APN!$L$3:$L$97,APN!$A$3:$A$97,RIGHT(Data!A44,4)*1,APN!$H$3:$H$97,Data!J44)</f>
        <v>8</v>
      </c>
      <c r="G44" s="292">
        <f t="shared" si="32"/>
        <v>0</v>
      </c>
      <c r="H44" s="290">
        <v>0</v>
      </c>
      <c r="I44" s="217" t="s">
        <v>212</v>
      </c>
      <c r="J44" s="376" t="s">
        <v>130</v>
      </c>
      <c r="K44" s="139"/>
      <c r="L44" s="213">
        <f>IFERROR(VLOOKUP(RIGHT($A44,4)*1,'Autumn term 2025'!$AA$6:$AM$54,12,FALSE),0)</f>
        <v>12</v>
      </c>
      <c r="M44" s="454">
        <f>IFERROR(VLOOKUP(RIGHT($A44,4)*1,'Autumn term 2025'!$U$6:$X$16,3,FALSE),0)</f>
        <v>0</v>
      </c>
      <c r="N44" s="455">
        <f>IFERROR(VLOOKUP(RIGHT($A44,4)*1,'Autumn term 2025'!$U$6:$X$16,2,FALSE),0)</f>
        <v>0</v>
      </c>
      <c r="O44" s="38"/>
      <c r="P44" s="373"/>
      <c r="Q44" s="374"/>
      <c r="R44" s="301">
        <f t="shared" si="0"/>
        <v>0</v>
      </c>
      <c r="S44" s="302">
        <f t="shared" si="1"/>
        <v>0</v>
      </c>
      <c r="T44" s="300"/>
      <c r="U44" s="301"/>
      <c r="V44" s="301"/>
      <c r="W44" s="301"/>
      <c r="X44" s="302"/>
      <c r="Y44" s="375"/>
      <c r="Z44" s="301"/>
      <c r="AA44" s="301"/>
      <c r="AB44" s="301"/>
      <c r="AC44" s="301"/>
      <c r="AD44" s="301"/>
    </row>
    <row r="45" spans="1:30" hidden="1">
      <c r="A45" s="138">
        <v>8503192</v>
      </c>
      <c r="B45" s="138" t="s">
        <v>164</v>
      </c>
      <c r="C45" s="105">
        <f>SUMIFS(APN!$I$3:$I$97,APN!$A$3:$A$97,RIGHT(A45,4))</f>
        <v>8</v>
      </c>
      <c r="D45" s="184">
        <f>SUMIFS(APN!$J$3:$J$97,APN!$A$3:$A$97,RIGHT(A45,4))</f>
        <v>8</v>
      </c>
      <c r="E45" s="108">
        <f>SUM(C45/12*5)+(D45/12*7)</f>
        <v>7.9999999999999991</v>
      </c>
      <c r="F45" s="107">
        <f>SUMIFS(APN!$L$3:$L$97,APN!$A$3:$A$97,RIGHT(Data!A45,4)*1,APN!$H$3:$H$97,Data!J45)</f>
        <v>8</v>
      </c>
      <c r="G45" s="292">
        <f>E45-F45</f>
        <v>0</v>
      </c>
      <c r="H45" s="290">
        <v>0</v>
      </c>
      <c r="I45" s="217" t="s">
        <v>212</v>
      </c>
      <c r="J45" s="376" t="s">
        <v>141</v>
      </c>
      <c r="K45" s="139"/>
      <c r="L45" s="213">
        <f>IFERROR(VLOOKUP(RIGHT($A45,4)*1,'Autumn term 2025'!$AA$6:$AM$54,12,FALSE),0)</f>
        <v>0</v>
      </c>
      <c r="M45" s="454">
        <f>IFERROR(VLOOKUP(RIGHT($A45,4)*1,'Autumn term 2025'!$U$6:$X$16,3,FALSE),0)</f>
        <v>0</v>
      </c>
      <c r="N45" s="455">
        <f>IFERROR(VLOOKUP(RIGHT($A45,4)*1,'Autumn term 2025'!$U$6:$X$16,2,FALSE),0)</f>
        <v>0</v>
      </c>
      <c r="O45" s="38"/>
      <c r="P45" s="373"/>
      <c r="Q45" s="374"/>
      <c r="R45" s="301">
        <f>IFERROR(ROUND((M45/$L45)*$E45,2),0)</f>
        <v>0</v>
      </c>
      <c r="S45" s="302">
        <f>IFERROR(ROUND((N45/$L45)*$E45,2),0)</f>
        <v>0</v>
      </c>
      <c r="T45" s="300"/>
      <c r="U45" s="301"/>
      <c r="V45" s="301"/>
      <c r="W45" s="301"/>
      <c r="X45" s="302"/>
      <c r="Y45" s="375"/>
      <c r="Z45" s="301"/>
      <c r="AA45" s="301"/>
      <c r="AB45" s="301"/>
      <c r="AC45" s="301"/>
      <c r="AD45" s="301"/>
    </row>
    <row r="46" spans="1:30" hidden="1">
      <c r="A46" s="138">
        <v>8503197</v>
      </c>
      <c r="B46" s="138" t="s">
        <v>216</v>
      </c>
      <c r="C46" s="105">
        <f>SUMIFS(APN!$I$3:$I$97,APN!$A$3:$A$97,RIGHT(A46,4))</f>
        <v>6</v>
      </c>
      <c r="D46" s="184">
        <f>SUMIFS(APN!$J$3:$J$97,APN!$A$3:$A$97,RIGHT(A46,4))</f>
        <v>9</v>
      </c>
      <c r="E46" s="108">
        <f t="shared" ref="E46" si="33">SUM(C46/12*5)+(D46/12*7)</f>
        <v>7.75</v>
      </c>
      <c r="F46" s="107">
        <f>SUMIFS(APN!$L$3:$L$97,APN!$A$3:$A$97,RIGHT(Data!A46,4)*1,APN!$H$3:$H$97,Data!J46)</f>
        <v>7.75</v>
      </c>
      <c r="G46" s="292">
        <f t="shared" ref="G46" si="34">E46-F46</f>
        <v>0</v>
      </c>
      <c r="H46" s="290">
        <v>0</v>
      </c>
      <c r="I46" s="217" t="s">
        <v>212</v>
      </c>
      <c r="J46" s="376" t="s">
        <v>130</v>
      </c>
      <c r="K46" s="139"/>
      <c r="L46" s="213">
        <f>IFERROR(VLOOKUP(RIGHT($A46,4)*1,'Autumn term 2025'!$AA$6:$AM$54,12,FALSE),0)</f>
        <v>0</v>
      </c>
      <c r="M46" s="454">
        <f>IFERROR(VLOOKUP(RIGHT($A46,4)*1,'Autumn term 2025'!$U$6:$X$16,3,FALSE),0)</f>
        <v>0</v>
      </c>
      <c r="N46" s="455">
        <f>IFERROR(VLOOKUP(RIGHT($A46,4)*1,'Autumn term 2025'!$U$6:$X$16,2,FALSE),0)</f>
        <v>0</v>
      </c>
      <c r="O46" s="38"/>
      <c r="P46" s="373"/>
      <c r="Q46" s="374"/>
      <c r="R46" s="301">
        <f t="shared" ref="R46" si="35">IFERROR(ROUND((M46/$L46)*$E46,2),0)</f>
        <v>0</v>
      </c>
      <c r="S46" s="302">
        <f t="shared" ref="S46" si="36">IFERROR(ROUND((N46/$L46)*$E46,2),0)</f>
        <v>0</v>
      </c>
      <c r="T46" s="300"/>
      <c r="U46" s="301"/>
      <c r="V46" s="301"/>
      <c r="W46" s="301"/>
      <c r="X46" s="302"/>
      <c r="Y46" s="375"/>
      <c r="Z46" s="301"/>
      <c r="AA46" s="301"/>
      <c r="AB46" s="301"/>
      <c r="AC46" s="301"/>
      <c r="AD46" s="301"/>
    </row>
    <row r="47" spans="1:30" hidden="1">
      <c r="A47" s="138">
        <v>8503404</v>
      </c>
      <c r="B47" s="138" t="s">
        <v>166</v>
      </c>
      <c r="C47" s="105">
        <f>SUMIFS(APN!$I$3:$I$97,APN!$A$3:$A$97,RIGHT(A47,4))</f>
        <v>6</v>
      </c>
      <c r="D47" s="184">
        <f>SUMIFS(APN!$J$3:$J$97,APN!$A$3:$A$97,RIGHT(A47,4))</f>
        <v>6</v>
      </c>
      <c r="E47" s="108">
        <f t="shared" ref="E47" si="37">SUM(C47/12*5)+(D47/12*7)</f>
        <v>6</v>
      </c>
      <c r="F47" s="107">
        <f>SUMIFS(APN!$L$3:$L$97,APN!$A$3:$A$97,RIGHT(Data!A47,4)*1,APN!$H$3:$H$97,Data!J47)</f>
        <v>6</v>
      </c>
      <c r="G47" s="292">
        <f t="shared" si="32"/>
        <v>0</v>
      </c>
      <c r="H47" s="290">
        <v>0</v>
      </c>
      <c r="I47" s="217" t="s">
        <v>212</v>
      </c>
      <c r="J47" s="376" t="s">
        <v>215</v>
      </c>
      <c r="K47" s="139"/>
      <c r="L47" s="213">
        <f>IFERROR(VLOOKUP(RIGHT($A47,4)*1,'Autumn term 2025'!$AA$6:$AM$54,12,FALSE),0)</f>
        <v>5</v>
      </c>
      <c r="M47" s="454">
        <f>IFERROR(VLOOKUP(RIGHT($A47,4)*1,'Autumn term 2025'!$U$6:$X$16,3,FALSE),0)</f>
        <v>0</v>
      </c>
      <c r="N47" s="455">
        <f>IFERROR(VLOOKUP(RIGHT($A47,4)*1,'Autumn term 2025'!$U$6:$X$16,2,FALSE),0)</f>
        <v>4</v>
      </c>
      <c r="O47" s="38"/>
      <c r="P47" s="373"/>
      <c r="Q47" s="374" t="s">
        <v>215</v>
      </c>
      <c r="R47" s="301">
        <f t="shared" si="0"/>
        <v>0</v>
      </c>
      <c r="S47" s="302">
        <f t="shared" si="1"/>
        <v>4.8</v>
      </c>
      <c r="T47" s="300"/>
      <c r="U47" s="301"/>
      <c r="V47" s="301"/>
      <c r="W47" s="301"/>
      <c r="X47" s="302"/>
      <c r="Y47" s="375"/>
      <c r="Z47" s="301"/>
      <c r="AA47" s="301"/>
      <c r="AB47" s="301"/>
      <c r="AC47" s="301"/>
      <c r="AD47" s="301"/>
    </row>
    <row r="48" spans="1:30" hidden="1">
      <c r="A48" s="138">
        <v>8503665</v>
      </c>
      <c r="B48" s="138" t="s">
        <v>26</v>
      </c>
      <c r="C48" s="105">
        <f>SUMIFS(APN!$I$3:$I$97,APN!$A$3:$A$97,RIGHT(A48,4))</f>
        <v>7</v>
      </c>
      <c r="D48" s="184">
        <f>SUMIFS(APN!$J$3:$J$97,APN!$A$3:$A$97,RIGHT(A48,4))</f>
        <v>7</v>
      </c>
      <c r="E48" s="108">
        <f t="shared" si="2"/>
        <v>7.0000000000000009</v>
      </c>
      <c r="F48" s="107">
        <f>SUMIFS(APN!$L$3:$L$97,APN!$A$3:$A$97,RIGHT(Data!A48,4)*1,APN!$H$3:$H$97,Data!J48)</f>
        <v>7</v>
      </c>
      <c r="G48" s="292">
        <f t="shared" si="32"/>
        <v>0</v>
      </c>
      <c r="H48" s="290">
        <v>0</v>
      </c>
      <c r="I48" s="217" t="s">
        <v>212</v>
      </c>
      <c r="J48" s="376" t="s">
        <v>130</v>
      </c>
      <c r="K48" s="139"/>
      <c r="L48" s="213">
        <f>IFERROR(VLOOKUP(RIGHT($A48,4)*1,'Autumn term 2025'!$AA$6:$AM$54,12,FALSE),0)</f>
        <v>7</v>
      </c>
      <c r="M48" s="454">
        <f>IFERROR(VLOOKUP(RIGHT($A48,4)*1,'Autumn term 2025'!$U$6:$X$16,3,FALSE),0)</f>
        <v>0</v>
      </c>
      <c r="N48" s="455">
        <f>IFERROR(VLOOKUP(RIGHT($A48,4)*1,'Autumn term 2025'!$U$6:$X$16,2,FALSE),0)</f>
        <v>0</v>
      </c>
      <c r="O48" s="38"/>
      <c r="P48" s="373"/>
      <c r="Q48" s="374"/>
      <c r="R48" s="301">
        <f t="shared" si="0"/>
        <v>0</v>
      </c>
      <c r="S48" s="302">
        <f t="shared" si="1"/>
        <v>0</v>
      </c>
      <c r="T48" s="300"/>
      <c r="U48" s="301"/>
      <c r="V48" s="301"/>
      <c r="W48" s="301"/>
      <c r="X48" s="302"/>
      <c r="Y48" s="375"/>
      <c r="Z48" s="301"/>
      <c r="AA48" s="301"/>
      <c r="AB48" s="301"/>
      <c r="AC48" s="301"/>
      <c r="AD48" s="301"/>
    </row>
    <row r="49" spans="1:30" hidden="1">
      <c r="A49" s="138">
        <v>8503667</v>
      </c>
      <c r="B49" s="465" t="s">
        <v>167</v>
      </c>
      <c r="C49" s="105">
        <f>SUMIFS(APN!$I$3:$I$97,APN!$A$3:$A$97,RIGHT(A49,4))</f>
        <v>0</v>
      </c>
      <c r="D49" s="184">
        <f>SUMIFS(APN!$J$3:$J$97,APN!$A$3:$A$97,RIGHT(A49,4))</f>
        <v>0</v>
      </c>
      <c r="E49" s="108">
        <f t="shared" ref="E49" si="38">SUM(C49/12*5)+(D49/12*7)</f>
        <v>0</v>
      </c>
      <c r="F49" s="107">
        <f>SUMIFS(APN!$L$3:$L$97,APN!$A$3:$A$97,RIGHT(Data!A49,4)*1,APN!$H$3:$H$97,Data!J49)</f>
        <v>0</v>
      </c>
      <c r="G49" s="292">
        <f t="shared" ref="G49" si="39">E49-F49</f>
        <v>0</v>
      </c>
      <c r="H49" s="290">
        <v>0</v>
      </c>
      <c r="I49" s="217" t="s">
        <v>212</v>
      </c>
      <c r="J49" s="376" t="s">
        <v>141</v>
      </c>
      <c r="K49" s="139"/>
      <c r="L49" s="213">
        <f>IFERROR(VLOOKUP(RIGHT($A49,4)*1,'Autumn term 2025'!$AA$6:$AM$54,12,FALSE),0)</f>
        <v>0</v>
      </c>
      <c r="M49" s="454">
        <f>IFERROR(VLOOKUP(RIGHT($A49,4)*1,'Autumn term 2025'!$U$6:$X$16,3,FALSE),0)</f>
        <v>0</v>
      </c>
      <c r="N49" s="455">
        <f>IFERROR(VLOOKUP(RIGHT($A49,4)*1,'Autumn term 2025'!$U$6:$X$16,2,FALSE),0)</f>
        <v>0</v>
      </c>
      <c r="O49" s="38"/>
      <c r="P49" s="373"/>
      <c r="Q49" s="374"/>
      <c r="R49" s="301">
        <f t="shared" ref="R49" si="40">IFERROR(ROUND((M49/$L49)*$E49,2),0)</f>
        <v>0</v>
      </c>
      <c r="S49" s="302">
        <f t="shared" ref="S49" si="41">IFERROR(ROUND((N49/$L49)*$E49,2),0)</f>
        <v>0</v>
      </c>
      <c r="T49" s="300"/>
      <c r="U49" s="301"/>
      <c r="V49" s="301"/>
      <c r="W49" s="301"/>
      <c r="X49" s="302"/>
      <c r="Y49" s="375"/>
      <c r="Z49" s="301"/>
      <c r="AA49" s="301"/>
      <c r="AB49" s="301"/>
      <c r="AC49" s="301"/>
      <c r="AD49" s="301"/>
    </row>
    <row r="50" spans="1:30" hidden="1">
      <c r="A50" s="138">
        <v>8504000</v>
      </c>
      <c r="B50" s="138" t="s">
        <v>27</v>
      </c>
      <c r="C50" s="105">
        <f>SUMIFS(APN!$I$3:$I$97,APN!$A$3:$A$97,RIGHT(A50,4))</f>
        <v>5</v>
      </c>
      <c r="D50" s="184">
        <f>SUMIFS(APN!$J$3:$J$97,APN!$A$3:$A$97,RIGHT(A50,4))</f>
        <v>5</v>
      </c>
      <c r="E50" s="108">
        <f t="shared" si="2"/>
        <v>5</v>
      </c>
      <c r="F50" s="107">
        <f>SUMIFS(APN!$L$3:$L$97,APN!$A$3:$A$97,RIGHT(Data!A50,4)*1,APN!$H$3:$H$97,Data!J50)</f>
        <v>5</v>
      </c>
      <c r="G50" s="292">
        <f t="shared" si="32"/>
        <v>0</v>
      </c>
      <c r="H50" s="290">
        <v>0</v>
      </c>
      <c r="I50" s="217" t="s">
        <v>217</v>
      </c>
      <c r="J50" s="376" t="s">
        <v>218</v>
      </c>
      <c r="K50" s="139">
        <v>1</v>
      </c>
      <c r="L50" s="213">
        <f>IFERROR(VLOOKUP(RIGHT($A50,4)*1,'Autumn term 2025'!$AA$6:$AM$54,12,FALSE),0)</f>
        <v>1</v>
      </c>
      <c r="M50" s="454">
        <f>IFERROR(VLOOKUP(RIGHT($A50,4)*1,'Autumn term 2025'!$U$6:$X$16,3,FALSE),0)</f>
        <v>0</v>
      </c>
      <c r="N50" s="455">
        <f>IFERROR(VLOOKUP(RIGHT($A50,4)*1,'Autumn term 2025'!$U$6:$X$16,2,FALSE),0)</f>
        <v>0</v>
      </c>
      <c r="O50" s="38"/>
      <c r="P50" s="373"/>
      <c r="Q50" s="374"/>
      <c r="R50" s="301">
        <f t="shared" si="0"/>
        <v>0</v>
      </c>
      <c r="S50" s="302">
        <f t="shared" si="1"/>
        <v>0</v>
      </c>
      <c r="T50" s="300"/>
      <c r="U50" s="301"/>
      <c r="V50" s="301"/>
      <c r="W50" s="301"/>
      <c r="X50" s="302"/>
      <c r="Y50" s="375"/>
      <c r="Z50" s="301"/>
      <c r="AA50" s="301"/>
      <c r="AB50" s="301"/>
      <c r="AC50" s="301"/>
      <c r="AD50" s="301"/>
    </row>
    <row r="51" spans="1:30" hidden="1">
      <c r="A51" s="138">
        <v>8504004</v>
      </c>
      <c r="B51" s="465" t="s">
        <v>168</v>
      </c>
      <c r="C51" s="105">
        <f>SUMIFS(APN!$I$3:$I$97,APN!$A$3:$A$97,RIGHT(A51,4))</f>
        <v>0</v>
      </c>
      <c r="D51" s="184">
        <f>SUMIFS(APN!$J$3:$J$97,APN!$A$3:$A$97,RIGHT(A51,4))</f>
        <v>0</v>
      </c>
      <c r="E51" s="108">
        <f t="shared" si="2"/>
        <v>0</v>
      </c>
      <c r="F51" s="107">
        <f>SUMIFS(APN!$L$3:$L$97,APN!$A$3:$A$97,RIGHT(Data!A51,4)*1,APN!$H$3:$H$97,Data!J51)</f>
        <v>0</v>
      </c>
      <c r="G51" s="292">
        <f t="shared" si="32"/>
        <v>0</v>
      </c>
      <c r="H51" s="290">
        <v>0</v>
      </c>
      <c r="I51" s="217" t="s">
        <v>217</v>
      </c>
      <c r="J51" s="376" t="s">
        <v>130</v>
      </c>
      <c r="K51" s="139">
        <v>1</v>
      </c>
      <c r="L51" s="213">
        <f>IFERROR(VLOOKUP(RIGHT($A51,4)*1,'Autumn term 2025'!$AA$6:$AM$54,12,FALSE),0)</f>
        <v>0</v>
      </c>
      <c r="M51" s="454">
        <f>IFERROR(VLOOKUP(RIGHT($A51,4)*1,'Autumn term 2025'!$U$6:$X$16,3,FALSE),0)</f>
        <v>0</v>
      </c>
      <c r="N51" s="455">
        <f>IFERROR(VLOOKUP(RIGHT($A51,4)*1,'Autumn term 2025'!$U$6:$X$16,2,FALSE),0)</f>
        <v>0</v>
      </c>
      <c r="O51" s="38"/>
      <c r="P51" s="373"/>
      <c r="Q51" s="374"/>
      <c r="R51" s="301">
        <f t="shared" si="0"/>
        <v>0</v>
      </c>
      <c r="S51" s="302">
        <f t="shared" si="1"/>
        <v>0</v>
      </c>
      <c r="T51" s="300"/>
      <c r="U51" s="301"/>
      <c r="V51" s="301"/>
      <c r="W51" s="301"/>
      <c r="X51" s="302"/>
      <c r="Y51" s="375"/>
      <c r="Z51" s="301"/>
      <c r="AA51" s="301"/>
      <c r="AB51" s="301"/>
      <c r="AC51" s="301"/>
      <c r="AD51" s="301"/>
    </row>
    <row r="52" spans="1:30" hidden="1">
      <c r="A52" s="138">
        <v>8504005</v>
      </c>
      <c r="B52" s="465" t="s">
        <v>169</v>
      </c>
      <c r="C52" s="105">
        <f>SUMIFS(APN!$I$3:$I$97,APN!$A$3:$A$97,RIGHT(A52,4))</f>
        <v>0</v>
      </c>
      <c r="D52" s="184">
        <f>SUMIFS(APN!$J$3:$J$97,APN!$A$3:$A$97,RIGHT(A52,4))</f>
        <v>7</v>
      </c>
      <c r="E52" s="108">
        <f t="shared" si="2"/>
        <v>4.0833333333333339</v>
      </c>
      <c r="F52" s="107">
        <f>SUMIFS(APN!$L$3:$L$97,APN!$A$3:$A$97,RIGHT(Data!A52,4)*1,APN!$H$3:$H$97,Data!J52)</f>
        <v>4.083333333333333</v>
      </c>
      <c r="G52" s="292">
        <f t="shared" si="32"/>
        <v>0</v>
      </c>
      <c r="H52" s="290">
        <v>0</v>
      </c>
      <c r="I52" s="217" t="s">
        <v>217</v>
      </c>
      <c r="J52" s="376" t="s">
        <v>130</v>
      </c>
      <c r="K52" s="139">
        <v>1</v>
      </c>
      <c r="L52" s="213">
        <f>IFERROR(VLOOKUP(RIGHT($A52,4)*1,'Autumn term 2025'!$AA$6:$AM$54,12,FALSE),0)</f>
        <v>0</v>
      </c>
      <c r="M52" s="454">
        <f>IFERROR(VLOOKUP(RIGHT($A52,4)*1,'Autumn term 2025'!$U$6:$X$16,3,FALSE),0)</f>
        <v>0</v>
      </c>
      <c r="N52" s="455">
        <f>IFERROR(VLOOKUP(RIGHT($A52,4)*1,'Autumn term 2025'!$U$6:$X$16,2,FALSE),0)</f>
        <v>0</v>
      </c>
      <c r="O52" s="38"/>
      <c r="P52" s="373"/>
      <c r="Q52" s="374"/>
      <c r="R52" s="301">
        <f t="shared" si="0"/>
        <v>0</v>
      </c>
      <c r="S52" s="302">
        <f t="shared" si="1"/>
        <v>0</v>
      </c>
      <c r="T52" s="300"/>
      <c r="U52" s="301"/>
      <c r="V52" s="301"/>
      <c r="W52" s="301"/>
      <c r="X52" s="302"/>
      <c r="Y52" s="375"/>
      <c r="Z52" s="301"/>
      <c r="AA52" s="301"/>
      <c r="AB52" s="301"/>
      <c r="AC52" s="301"/>
      <c r="AD52" s="301"/>
    </row>
    <row r="53" spans="1:30" hidden="1">
      <c r="A53" s="138">
        <v>8504007</v>
      </c>
      <c r="B53" s="138" t="s">
        <v>170</v>
      </c>
      <c r="C53" s="105">
        <f>SUMIFS(APN!$I$3:$I$97,APN!$A$3:$A$97,RIGHT(A53,4))</f>
        <v>6</v>
      </c>
      <c r="D53" s="184">
        <f>SUMIFS(APN!$J$3:$J$97,APN!$A$3:$A$97,RIGHT(A53,4))</f>
        <v>6</v>
      </c>
      <c r="E53" s="108">
        <f t="shared" si="2"/>
        <v>6</v>
      </c>
      <c r="F53" s="107">
        <f>SUMIFS(APN!$L$3:$L$97,APN!$A$3:$A$97,RIGHT(Data!A53,4)*1,APN!$H$3:$H$97,Data!J53)</f>
        <v>6</v>
      </c>
      <c r="G53" s="292">
        <f t="shared" si="32"/>
        <v>0</v>
      </c>
      <c r="H53" s="290">
        <v>0</v>
      </c>
      <c r="I53" s="217" t="s">
        <v>217</v>
      </c>
      <c r="J53" s="376" t="s">
        <v>143</v>
      </c>
      <c r="K53" s="139">
        <v>1</v>
      </c>
      <c r="L53" s="213">
        <f>IFERROR(VLOOKUP(RIGHT($A53,4)*1,'Autumn term 2025'!$AA$6:$AM$54,12,FALSE),0)</f>
        <v>3</v>
      </c>
      <c r="M53" s="454">
        <f>IFERROR(VLOOKUP(RIGHT($A53,4)*1,'Autumn term 2025'!$U$6:$X$16,3,FALSE),0)</f>
        <v>0</v>
      </c>
      <c r="N53" s="455">
        <f>IFERROR(VLOOKUP(RIGHT($A53,4)*1,'Autumn term 2025'!$U$6:$X$16,2,FALSE),0)</f>
        <v>0</v>
      </c>
      <c r="O53" s="38"/>
      <c r="P53" s="373"/>
      <c r="Q53" s="374"/>
      <c r="R53" s="301">
        <f t="shared" si="0"/>
        <v>0</v>
      </c>
      <c r="S53" s="302">
        <f t="shared" si="1"/>
        <v>0</v>
      </c>
      <c r="T53" s="300"/>
      <c r="U53" s="301"/>
      <c r="V53" s="301"/>
      <c r="W53" s="301"/>
      <c r="X53" s="302"/>
      <c r="Y53" s="375"/>
      <c r="Z53" s="301"/>
      <c r="AA53" s="301"/>
      <c r="AB53" s="301"/>
      <c r="AC53" s="301"/>
      <c r="AD53" s="301"/>
    </row>
    <row r="54" spans="1:30" hidden="1">
      <c r="A54" s="138">
        <v>8504008</v>
      </c>
      <c r="B54" s="465" t="s">
        <v>171</v>
      </c>
      <c r="C54" s="105">
        <f>SUMIFS(APN!$I$3:$I$97,APN!$A$3:$A$97,RIGHT(A54,4))</f>
        <v>0</v>
      </c>
      <c r="D54" s="184">
        <f>SUMIFS(APN!$J$3:$J$97,APN!$A$3:$A$97,RIGHT(A54,4))</f>
        <v>0</v>
      </c>
      <c r="E54" s="108">
        <f t="shared" ref="E54" si="42">SUM(C54/12*5)+(D54/12*7)</f>
        <v>0</v>
      </c>
      <c r="F54" s="107">
        <f>SUMIFS(APN!$L$3:$L$97,APN!$A$3:$A$97,RIGHT(Data!A54,4)*1,APN!$H$3:$H$97,Data!J54)</f>
        <v>0</v>
      </c>
      <c r="G54" s="292">
        <f t="shared" ref="G54" si="43">E54-F54</f>
        <v>0</v>
      </c>
      <c r="H54" s="290">
        <v>0</v>
      </c>
      <c r="I54" s="217" t="s">
        <v>217</v>
      </c>
      <c r="J54" s="376" t="s">
        <v>141</v>
      </c>
      <c r="K54" s="139">
        <v>1</v>
      </c>
      <c r="L54" s="213">
        <f>IFERROR(VLOOKUP(RIGHT($A54,4)*1,'Autumn term 2025'!$AA$6:$AM$54,12,FALSE),0)</f>
        <v>0</v>
      </c>
      <c r="M54" s="454">
        <f>IFERROR(VLOOKUP(RIGHT($A54,4)*1,'Autumn term 2025'!$U$6:$X$16,3,FALSE),0)</f>
        <v>0</v>
      </c>
      <c r="N54" s="455">
        <f>IFERROR(VLOOKUP(RIGHT($A54,4)*1,'Autumn term 2025'!$U$6:$X$16,2,FALSE),0)</f>
        <v>0</v>
      </c>
      <c r="O54" s="38"/>
      <c r="P54" s="373"/>
      <c r="Q54" s="374"/>
      <c r="R54" s="301">
        <f t="shared" ref="R54" si="44">IFERROR(ROUND((M54/$L54)*$E54,2),0)</f>
        <v>0</v>
      </c>
      <c r="S54" s="302">
        <f t="shared" ref="S54" si="45">IFERROR(ROUND((N54/$L54)*$E54,2),0)</f>
        <v>0</v>
      </c>
      <c r="T54" s="300"/>
      <c r="U54" s="301"/>
      <c r="V54" s="301"/>
      <c r="W54" s="301"/>
      <c r="X54" s="302"/>
      <c r="Y54" s="375"/>
      <c r="Z54" s="301"/>
      <c r="AA54" s="301"/>
      <c r="AB54" s="301"/>
      <c r="AC54" s="301"/>
      <c r="AD54" s="301"/>
    </row>
    <row r="55" spans="1:30" hidden="1">
      <c r="A55" s="138">
        <v>8504019</v>
      </c>
      <c r="B55" s="465" t="s">
        <v>172</v>
      </c>
      <c r="C55" s="105">
        <f>SUMIFS(APN!$I$3:$I$97,APN!$A$3:$A$97,RIGHT(A55,4))</f>
        <v>0</v>
      </c>
      <c r="D55" s="184">
        <f>SUMIFS(APN!$J$3:$J$97,APN!$A$3:$A$97,RIGHT(A55,4))</f>
        <v>0</v>
      </c>
      <c r="E55" s="108">
        <f t="shared" si="2"/>
        <v>0</v>
      </c>
      <c r="F55" s="107">
        <f>SUMIFS(APN!$L$3:$L$97,APN!$A$3:$A$97,RIGHT(Data!A55,4)*1,APN!$H$3:$H$97,Data!J55)</f>
        <v>0</v>
      </c>
      <c r="G55" s="292">
        <f t="shared" si="32"/>
        <v>0</v>
      </c>
      <c r="H55" s="290">
        <v>0</v>
      </c>
      <c r="I55" s="217" t="s">
        <v>217</v>
      </c>
      <c r="J55" s="376" t="s">
        <v>130</v>
      </c>
      <c r="K55" s="139">
        <v>1</v>
      </c>
      <c r="L55" s="213">
        <f>IFERROR(VLOOKUP(RIGHT($A55,4)*1,'Autumn term 2025'!$AA$6:$AM$54,12,FALSE),0)</f>
        <v>0</v>
      </c>
      <c r="M55" s="454">
        <f>IFERROR(VLOOKUP(RIGHT($A55,4)*1,'Autumn term 2025'!$U$6:$X$16,3,FALSE),0)</f>
        <v>0</v>
      </c>
      <c r="N55" s="455">
        <f>IFERROR(VLOOKUP(RIGHT($A55,4)*1,'Autumn term 2025'!$U$6:$X$16,2,FALSE),0)</f>
        <v>0</v>
      </c>
      <c r="O55" s="38"/>
      <c r="P55" s="373"/>
      <c r="Q55" s="374"/>
      <c r="R55" s="301">
        <f t="shared" si="0"/>
        <v>0</v>
      </c>
      <c r="S55" s="302">
        <f t="shared" si="1"/>
        <v>0</v>
      </c>
      <c r="T55" s="300"/>
      <c r="U55" s="301"/>
      <c r="V55" s="301"/>
      <c r="W55" s="301"/>
      <c r="X55" s="302"/>
      <c r="Y55" s="375"/>
      <c r="Z55" s="301"/>
      <c r="AA55" s="301"/>
      <c r="AB55" s="301"/>
      <c r="AC55" s="301"/>
      <c r="AD55" s="301"/>
    </row>
    <row r="56" spans="1:30" hidden="1">
      <c r="A56" s="264">
        <v>8504110</v>
      </c>
      <c r="B56" s="264" t="s">
        <v>219</v>
      </c>
      <c r="C56" s="105">
        <f>SUMIFS(APN!$I$3:$I$97,APN!$A$3:$A$97,RIGHT(A56,4))</f>
        <v>20</v>
      </c>
      <c r="D56" s="184">
        <f>SUMIFS(APN!$J$3:$J$97,APN!$A$3:$A$97,RIGHT(A56,4))</f>
        <v>23</v>
      </c>
      <c r="E56" s="108">
        <f t="shared" si="2"/>
        <v>21.75</v>
      </c>
      <c r="F56" s="107">
        <f>SUMIFS(APN!$L$3:$L$97,APN!$A$3:$A$97,RIGHT(Data!A56,4)*1,APN!$H$3:$H$97,Data!J56)</f>
        <v>5</v>
      </c>
      <c r="G56" s="292">
        <f t="shared" si="32"/>
        <v>16.75</v>
      </c>
      <c r="H56" s="290">
        <v>0</v>
      </c>
      <c r="I56" s="217" t="s">
        <v>217</v>
      </c>
      <c r="J56" s="376" t="s">
        <v>218</v>
      </c>
      <c r="K56" s="139">
        <v>1</v>
      </c>
      <c r="L56" s="213">
        <f>IFERROR(VLOOKUP(RIGHT($A56,4)*1,'Autumn term 2025'!$AA$6:$AM$54,12,FALSE),0)</f>
        <v>13</v>
      </c>
      <c r="M56" s="454">
        <f>IFERROR(VLOOKUP(RIGHT($A56,4)*1,'Autumn term 2025'!$U$6:$X$16,3,FALSE),0)</f>
        <v>0</v>
      </c>
      <c r="N56" s="455">
        <f>IFERROR(VLOOKUP(RIGHT($A56,4)*1,'Autumn term 2025'!$U$6:$X$16,2,FALSE),0)</f>
        <v>0</v>
      </c>
      <c r="O56" s="38"/>
      <c r="P56" s="373"/>
      <c r="Q56" s="374" t="s">
        <v>141</v>
      </c>
      <c r="R56" s="301">
        <f t="shared" si="0"/>
        <v>0</v>
      </c>
      <c r="S56" s="302">
        <f t="shared" si="1"/>
        <v>0</v>
      </c>
      <c r="T56" s="300"/>
      <c r="U56" s="301">
        <f>G56</f>
        <v>16.75</v>
      </c>
      <c r="V56" s="301"/>
      <c r="W56" s="301"/>
      <c r="X56" s="302"/>
      <c r="Y56" s="375"/>
      <c r="Z56" s="301"/>
      <c r="AA56" s="301"/>
      <c r="AB56" s="301"/>
      <c r="AC56" s="301"/>
      <c r="AD56" s="301"/>
    </row>
    <row r="57" spans="1:30" hidden="1">
      <c r="A57" s="138">
        <v>8504113</v>
      </c>
      <c r="B57" s="138" t="s">
        <v>30</v>
      </c>
      <c r="C57" s="105">
        <f>SUMIFS(APN!$I$3:$I$97,APN!$A$3:$A$97,RIGHT(A57,4))</f>
        <v>20</v>
      </c>
      <c r="D57" s="184">
        <f>SUMIFS(APN!$J$3:$J$97,APN!$A$3:$A$97,RIGHT(A57,4))</f>
        <v>15</v>
      </c>
      <c r="E57" s="108">
        <f t="shared" si="2"/>
        <v>17.083333333333336</v>
      </c>
      <c r="F57" s="107">
        <f>SUMIFS(APN!$L$3:$L$97,APN!$A$3:$A$97,RIGHT(Data!A57,4)*1,APN!$H$3:$H$97,Data!J57)</f>
        <v>17.083333333333336</v>
      </c>
      <c r="G57" s="292">
        <f t="shared" si="32"/>
        <v>0</v>
      </c>
      <c r="H57" s="290">
        <v>0</v>
      </c>
      <c r="I57" s="217" t="s">
        <v>217</v>
      </c>
      <c r="J57" s="376" t="s">
        <v>214</v>
      </c>
      <c r="K57" s="139"/>
      <c r="L57" s="213">
        <f>IFERROR(VLOOKUP(RIGHT($A57,4)*1,'Autumn term 2025'!$AA$6:$AM$54,12,FALSE),0)</f>
        <v>17</v>
      </c>
      <c r="M57" s="454">
        <f>IFERROR(VLOOKUP(RIGHT($A57,4)*1,'Autumn term 2025'!$U$6:$X$16,3,FALSE),0)</f>
        <v>1</v>
      </c>
      <c r="N57" s="455">
        <f>IFERROR(VLOOKUP(RIGHT($A57,4)*1,'Autumn term 2025'!$U$6:$X$16,2,FALSE),0)</f>
        <v>0</v>
      </c>
      <c r="O57" s="38"/>
      <c r="P57" s="373"/>
      <c r="Q57" s="374" t="s">
        <v>214</v>
      </c>
      <c r="R57" s="301">
        <f t="shared" si="0"/>
        <v>1</v>
      </c>
      <c r="S57" s="302">
        <f t="shared" si="1"/>
        <v>0</v>
      </c>
      <c r="T57" s="300"/>
      <c r="U57" s="301"/>
      <c r="V57" s="301"/>
      <c r="W57" s="301"/>
      <c r="X57" s="302"/>
      <c r="Y57" s="375"/>
      <c r="Z57" s="301"/>
      <c r="AA57" s="301"/>
      <c r="AB57" s="301"/>
      <c r="AC57" s="301"/>
      <c r="AD57" s="301"/>
    </row>
    <row r="58" spans="1:30" hidden="1">
      <c r="A58" s="138">
        <v>8504119</v>
      </c>
      <c r="B58" s="465" t="s">
        <v>173</v>
      </c>
      <c r="C58" s="105">
        <f>SUMIFS(APN!$I$3:$I$97,APN!$A$3:$A$97,RIGHT(A58,4))</f>
        <v>0</v>
      </c>
      <c r="D58" s="184">
        <f>SUMIFS(APN!$J$3:$J$97,APN!$A$3:$A$97,RIGHT(A58,4))</f>
        <v>7</v>
      </c>
      <c r="E58" s="108">
        <f t="shared" si="2"/>
        <v>4.0833333333333339</v>
      </c>
      <c r="F58" s="107">
        <f>SUMIFS(APN!$L$3:$L$97,APN!$A$3:$A$97,RIGHT(Data!A58,4)*1,APN!$H$3:$H$97,Data!J58)</f>
        <v>4.083333333333333</v>
      </c>
      <c r="G58" s="292">
        <f t="shared" si="32"/>
        <v>0</v>
      </c>
      <c r="H58" s="290">
        <v>0</v>
      </c>
      <c r="I58" s="217" t="s">
        <v>217</v>
      </c>
      <c r="J58" s="376" t="s">
        <v>141</v>
      </c>
      <c r="K58" s="139"/>
      <c r="L58" s="213">
        <f>IFERROR(VLOOKUP(RIGHT($A58,4)*1,'Autumn term 2025'!$AA$6:$AM$54,12,FALSE),0)</f>
        <v>0</v>
      </c>
      <c r="M58" s="454">
        <f>IFERROR(VLOOKUP(RIGHT($A58,4)*1,'Autumn term 2025'!$U$6:$X$16,3,FALSE),0)</f>
        <v>0</v>
      </c>
      <c r="N58" s="455">
        <f>IFERROR(VLOOKUP(RIGHT($A58,4)*1,'Autumn term 2025'!$U$6:$X$16,2,FALSE),0)</f>
        <v>0</v>
      </c>
      <c r="O58" s="38"/>
      <c r="P58" s="373"/>
      <c r="Q58" s="374"/>
      <c r="R58" s="301">
        <f t="shared" si="0"/>
        <v>0</v>
      </c>
      <c r="S58" s="302">
        <f t="shared" si="1"/>
        <v>0</v>
      </c>
      <c r="T58" s="300"/>
      <c r="U58" s="301"/>
      <c r="V58" s="301"/>
      <c r="W58" s="301"/>
      <c r="X58" s="302"/>
      <c r="Y58" s="375"/>
      <c r="Z58" s="301"/>
      <c r="AA58" s="301"/>
      <c r="AB58" s="301"/>
      <c r="AC58" s="301"/>
      <c r="AD58" s="301"/>
    </row>
    <row r="59" spans="1:30" hidden="1">
      <c r="A59" s="264">
        <v>8504128</v>
      </c>
      <c r="B59" s="264" t="s">
        <v>31</v>
      </c>
      <c r="C59" s="105">
        <f>SUMIFS(APN!$I$3:$I$97,APN!$A$3:$A$97,RIGHT(A59,4))</f>
        <v>21</v>
      </c>
      <c r="D59" s="184">
        <f>SUMIFS(APN!$J$3:$J$97,APN!$A$3:$A$97,RIGHT(A59,4))</f>
        <v>21</v>
      </c>
      <c r="E59" s="108">
        <f t="shared" si="2"/>
        <v>21</v>
      </c>
      <c r="F59" s="107">
        <f>SUMIFS(APN!$L$3:$L$97,APN!$A$3:$A$97,RIGHT(Data!A59,4)*1,APN!$H$3:$H$97,Data!J59)</f>
        <v>5</v>
      </c>
      <c r="G59" s="292">
        <f t="shared" si="32"/>
        <v>16</v>
      </c>
      <c r="H59" s="290">
        <v>0</v>
      </c>
      <c r="I59" s="217" t="s">
        <v>217</v>
      </c>
      <c r="J59" s="376" t="s">
        <v>220</v>
      </c>
      <c r="K59" s="139">
        <v>1</v>
      </c>
      <c r="L59" s="213">
        <f>IFERROR(VLOOKUP(RIGHT($A59,4)*1,'Autumn term 2025'!$AA$6:$AM$54,12,FALSE),0)</f>
        <v>15</v>
      </c>
      <c r="M59" s="454">
        <f>IFERROR(VLOOKUP(RIGHT($A59,4)*1,'Autumn term 2025'!$U$6:$X$16,3,FALSE),0)</f>
        <v>0</v>
      </c>
      <c r="N59" s="455">
        <f>IFERROR(VLOOKUP(RIGHT($A59,4)*1,'Autumn term 2025'!$U$6:$X$16,2,FALSE),0)</f>
        <v>0</v>
      </c>
      <c r="O59" s="38"/>
      <c r="P59" s="373"/>
      <c r="Q59" s="374" t="s">
        <v>130</v>
      </c>
      <c r="R59" s="301">
        <f t="shared" si="0"/>
        <v>0</v>
      </c>
      <c r="S59" s="302">
        <f t="shared" si="1"/>
        <v>0</v>
      </c>
      <c r="T59" s="300"/>
      <c r="U59" s="301"/>
      <c r="V59" s="301"/>
      <c r="W59" s="301">
        <f>G59</f>
        <v>16</v>
      </c>
      <c r="X59" s="302"/>
      <c r="Y59" s="375"/>
      <c r="Z59" s="301"/>
      <c r="AA59" s="301"/>
      <c r="AB59" s="301"/>
      <c r="AC59" s="301"/>
      <c r="AD59" s="301"/>
    </row>
    <row r="60" spans="1:30" hidden="1">
      <c r="A60" s="138">
        <v>8504130</v>
      </c>
      <c r="B60" s="138" t="s">
        <v>174</v>
      </c>
      <c r="C60" s="105">
        <f>SUMIFS(APN!$I$3:$I$97,APN!$A$3:$A$97,RIGHT(A60,4))</f>
        <v>10</v>
      </c>
      <c r="D60" s="184">
        <f>SUMIFS(APN!$J$3:$J$97,APN!$A$3:$A$97,RIGHT(A60,4))</f>
        <v>15</v>
      </c>
      <c r="E60" s="108">
        <f t="shared" ref="E60" si="46">SUM(C60/12*5)+(D60/12*7)</f>
        <v>12.916666666666668</v>
      </c>
      <c r="F60" s="107">
        <f>SUMIFS(APN!$L$3:$L$97,APN!$A$3:$A$97,RIGHT(Data!A60,4)*1,APN!$H$3:$H$97,Data!J60)</f>
        <v>12.916666666666668</v>
      </c>
      <c r="G60" s="292">
        <f t="shared" ref="G60" si="47">E60-F60</f>
        <v>0</v>
      </c>
      <c r="H60" s="290">
        <v>0</v>
      </c>
      <c r="I60" s="217" t="s">
        <v>217</v>
      </c>
      <c r="J60" s="376" t="s">
        <v>130</v>
      </c>
      <c r="K60" s="139">
        <v>1</v>
      </c>
      <c r="L60" s="213">
        <f>IFERROR(VLOOKUP(RIGHT($A60,4)*1,'Autumn term 2025'!$AA$6:$AM$54,12,FALSE),0)</f>
        <v>9.08</v>
      </c>
      <c r="M60" s="454">
        <f>IFERROR(VLOOKUP(RIGHT($A60,4)*1,'Autumn term 2025'!$U$6:$X$16,3,FALSE),0)</f>
        <v>0</v>
      </c>
      <c r="N60" s="455">
        <f>IFERROR(VLOOKUP(RIGHT($A60,4)*1,'Autumn term 2025'!$U$6:$X$16,2,FALSE),0)</f>
        <v>0</v>
      </c>
      <c r="O60" s="38"/>
      <c r="P60" s="373"/>
      <c r="Q60" s="374"/>
      <c r="R60" s="301">
        <f t="shared" ref="R60" si="48">IFERROR(ROUND((M60/$L60)*$E60,2),0)</f>
        <v>0</v>
      </c>
      <c r="S60" s="302">
        <f t="shared" ref="S60" si="49">IFERROR(ROUND((N60/$L60)*$E60,2),0)</f>
        <v>0</v>
      </c>
      <c r="T60" s="300"/>
      <c r="U60" s="301"/>
      <c r="V60" s="301"/>
      <c r="W60" s="301"/>
      <c r="X60" s="302"/>
      <c r="Y60" s="375"/>
      <c r="Z60" s="301"/>
      <c r="AA60" s="301"/>
      <c r="AB60" s="301"/>
      <c r="AC60" s="301"/>
      <c r="AD60" s="301"/>
    </row>
    <row r="61" spans="1:30" hidden="1">
      <c r="A61" s="138">
        <v>8504133</v>
      </c>
      <c r="B61" s="138" t="s">
        <v>32</v>
      </c>
      <c r="C61" s="105">
        <f>SUMIFS(APN!$I$3:$I$97,APN!$A$3:$A$97,RIGHT(A61,4))</f>
        <v>15</v>
      </c>
      <c r="D61" s="184">
        <f>SUMIFS(APN!$J$3:$J$97,APN!$A$3:$A$97,RIGHT(A61,4))</f>
        <v>15</v>
      </c>
      <c r="E61" s="108">
        <f t="shared" si="2"/>
        <v>15</v>
      </c>
      <c r="F61" s="107">
        <f>SUMIFS(APN!$L$3:$L$97,APN!$A$3:$A$97,RIGHT(Data!A61,4)*1,APN!$H$3:$H$97,Data!J61)</f>
        <v>15</v>
      </c>
      <c r="G61" s="292">
        <f t="shared" si="32"/>
        <v>0</v>
      </c>
      <c r="H61" s="290">
        <v>0</v>
      </c>
      <c r="I61" s="217" t="s">
        <v>217</v>
      </c>
      <c r="J61" s="376" t="s">
        <v>221</v>
      </c>
      <c r="K61" s="139"/>
      <c r="L61" s="213">
        <f>IFERROR(VLOOKUP(RIGHT($A61,4)*1,'Autumn term 2025'!$AA$6:$AM$54,12,FALSE),0)</f>
        <v>9</v>
      </c>
      <c r="M61" s="454">
        <f>IFERROR(VLOOKUP(RIGHT($A61,4)*1,'Autumn term 2025'!$U$6:$X$16,3,FALSE),0)</f>
        <v>0</v>
      </c>
      <c r="N61" s="455">
        <f>IFERROR(VLOOKUP(RIGHT($A61,4)*1,'Autumn term 2025'!$U$6:$X$16,2,FALSE),0)</f>
        <v>0</v>
      </c>
      <c r="O61" s="38"/>
      <c r="P61" s="373"/>
      <c r="Q61" s="374"/>
      <c r="R61" s="301">
        <f t="shared" si="0"/>
        <v>0</v>
      </c>
      <c r="S61" s="302">
        <f t="shared" si="1"/>
        <v>0</v>
      </c>
      <c r="T61" s="300"/>
      <c r="U61" s="301"/>
      <c r="V61" s="301"/>
      <c r="W61" s="301"/>
      <c r="X61" s="302"/>
      <c r="Y61" s="375"/>
      <c r="Z61" s="301"/>
      <c r="AA61" s="301"/>
      <c r="AB61" s="301"/>
      <c r="AC61" s="301"/>
      <c r="AD61" s="301"/>
    </row>
    <row r="62" spans="1:30" hidden="1">
      <c r="A62" s="138">
        <v>8504143</v>
      </c>
      <c r="B62" s="138" t="s">
        <v>33</v>
      </c>
      <c r="C62" s="105">
        <f>SUMIFS(APN!$I$3:$I$97,APN!$A$3:$A$97,RIGHT(A62,4))</f>
        <v>12</v>
      </c>
      <c r="D62" s="184">
        <f>SUMIFS(APN!$J$3:$J$97,APN!$A$3:$A$97,RIGHT(A62,4))</f>
        <v>12</v>
      </c>
      <c r="E62" s="108">
        <f t="shared" si="2"/>
        <v>12</v>
      </c>
      <c r="F62" s="107">
        <f>SUMIFS(APN!$L$3:$L$97,APN!$A$3:$A$97,RIGHT(Data!A62,4)*1,APN!$H$3:$H$97,Data!J62)</f>
        <v>12</v>
      </c>
      <c r="G62" s="292">
        <f t="shared" si="32"/>
        <v>0</v>
      </c>
      <c r="H62" s="290">
        <v>0</v>
      </c>
      <c r="I62" s="217" t="s">
        <v>217</v>
      </c>
      <c r="J62" s="376" t="s">
        <v>141</v>
      </c>
      <c r="K62" s="139">
        <v>1</v>
      </c>
      <c r="L62" s="213">
        <f>IFERROR(VLOOKUP(RIGHT($A62,4)*1,'Autumn term 2025'!$AA$6:$AM$54,12,FALSE),0)</f>
        <v>17</v>
      </c>
      <c r="M62" s="454">
        <f>IFERROR(VLOOKUP(RIGHT($A62,4)*1,'Autumn term 2025'!$U$6:$X$16,3,FALSE),0)</f>
        <v>0</v>
      </c>
      <c r="N62" s="455">
        <f>IFERROR(VLOOKUP(RIGHT($A62,4)*1,'Autumn term 2025'!$U$6:$X$16,2,FALSE),0)</f>
        <v>0</v>
      </c>
      <c r="O62" s="38"/>
      <c r="P62" s="373"/>
      <c r="Q62" s="374"/>
      <c r="R62" s="301">
        <f t="shared" si="0"/>
        <v>0</v>
      </c>
      <c r="S62" s="302">
        <f t="shared" si="1"/>
        <v>0</v>
      </c>
      <c r="T62" s="300"/>
      <c r="U62" s="301"/>
      <c r="V62" s="301"/>
      <c r="W62" s="301"/>
      <c r="X62" s="302"/>
      <c r="Y62" s="375"/>
      <c r="Z62" s="301"/>
      <c r="AA62" s="301"/>
      <c r="AB62" s="301"/>
      <c r="AC62" s="301"/>
      <c r="AD62" s="301"/>
    </row>
    <row r="63" spans="1:30" hidden="1">
      <c r="A63" s="138">
        <v>8504159</v>
      </c>
      <c r="B63" s="138" t="s">
        <v>175</v>
      </c>
      <c r="C63" s="105">
        <f>SUMIFS(APN!$I$3:$I$97,APN!$A$3:$A$97,RIGHT(A63,4))</f>
        <v>5</v>
      </c>
      <c r="D63" s="184">
        <f>SUMIFS(APN!$J$3:$J$97,APN!$A$3:$A$97,RIGHT(A63,4))</f>
        <v>10</v>
      </c>
      <c r="E63" s="108">
        <f t="shared" ref="E63" si="50">SUM(C63/12*5)+(D63/12*7)</f>
        <v>7.9166666666666679</v>
      </c>
      <c r="F63" s="107">
        <f>SUMIFS(APN!$L$3:$L$97,APN!$A$3:$A$97,RIGHT(Data!A63,4)*1,APN!$H$3:$H$97,Data!J63)</f>
        <v>7.9166666666666661</v>
      </c>
      <c r="G63" s="292">
        <f t="shared" ref="G63" si="51">E63-F63</f>
        <v>0</v>
      </c>
      <c r="H63" s="290">
        <v>0</v>
      </c>
      <c r="I63" s="217" t="s">
        <v>217</v>
      </c>
      <c r="J63" s="376" t="s">
        <v>141</v>
      </c>
      <c r="K63" s="139"/>
      <c r="L63" s="213">
        <f>IFERROR(VLOOKUP(RIGHT($A63,4)*1,'Autumn term 2025'!$AA$6:$AM$54,12,FALSE),0)</f>
        <v>0</v>
      </c>
      <c r="M63" s="454">
        <f>IFERROR(VLOOKUP(RIGHT($A63,4)*1,'Autumn term 2025'!$U$6:$X$16,3,FALSE),0)</f>
        <v>0</v>
      </c>
      <c r="N63" s="455">
        <f>IFERROR(VLOOKUP(RIGHT($A63,4)*1,'Autumn term 2025'!$U$6:$X$16,2,FALSE),0)</f>
        <v>0</v>
      </c>
      <c r="O63" s="38"/>
      <c r="P63" s="373"/>
      <c r="Q63" s="374"/>
      <c r="R63" s="301">
        <f t="shared" ref="R63" si="52">IFERROR(ROUND((M63/$L63)*$E63,2),0)</f>
        <v>0</v>
      </c>
      <c r="S63" s="302">
        <f t="shared" ref="S63" si="53">IFERROR(ROUND((N63/$L63)*$E63,2),0)</f>
        <v>0</v>
      </c>
      <c r="T63" s="300"/>
      <c r="U63" s="301"/>
      <c r="V63" s="301"/>
      <c r="W63" s="301"/>
      <c r="X63" s="302"/>
      <c r="Y63" s="375"/>
      <c r="Z63" s="301"/>
      <c r="AA63" s="301"/>
      <c r="AB63" s="301"/>
      <c r="AC63" s="301"/>
      <c r="AD63" s="301"/>
    </row>
    <row r="64" spans="1:30" hidden="1">
      <c r="A64" s="138">
        <v>8504163</v>
      </c>
      <c r="B64" s="465" t="s">
        <v>176</v>
      </c>
      <c r="C64" s="105">
        <f>SUMIFS(APN!$I$3:$I$97,APN!$A$3:$A$97,RIGHT(A64,4))</f>
        <v>0</v>
      </c>
      <c r="D64" s="184">
        <f>SUMIFS(APN!$J$3:$J$97,APN!$A$3:$A$97,RIGHT(A64,4))</f>
        <v>7</v>
      </c>
      <c r="E64" s="108">
        <f t="shared" ref="E64" si="54">SUM(C64/12*5)+(D64/12*7)</f>
        <v>4.0833333333333339</v>
      </c>
      <c r="F64" s="107">
        <f>SUMIFS(APN!$L$3:$L$97,APN!$A$3:$A$97,RIGHT(Data!A64,4)*1,APN!$H$3:$H$97,Data!J64)</f>
        <v>4.083333333333333</v>
      </c>
      <c r="G64" s="292">
        <f t="shared" ref="G64" si="55">E64-F64</f>
        <v>0</v>
      </c>
      <c r="H64" s="290">
        <v>0</v>
      </c>
      <c r="I64" s="217" t="s">
        <v>217</v>
      </c>
      <c r="J64" s="376" t="s">
        <v>141</v>
      </c>
      <c r="K64" s="139"/>
      <c r="L64" s="213">
        <f>IFERROR(VLOOKUP(RIGHT($A64,4)*1,'Autumn term 2025'!$AA$6:$AM$54,12,FALSE),0)</f>
        <v>0</v>
      </c>
      <c r="M64" s="454">
        <f>IFERROR(VLOOKUP(RIGHT($A64,4)*1,'Autumn term 2025'!$U$6:$X$16,3,FALSE),0)</f>
        <v>0</v>
      </c>
      <c r="N64" s="455">
        <f>IFERROR(VLOOKUP(RIGHT($A64,4)*1,'Autumn term 2025'!$U$6:$X$16,2,FALSE),0)</f>
        <v>0</v>
      </c>
      <c r="O64" s="38"/>
      <c r="P64" s="373"/>
      <c r="Q64" s="374"/>
      <c r="R64" s="301">
        <f t="shared" ref="R64" si="56">IFERROR(ROUND((M64/$L64)*$E64,2),0)</f>
        <v>0</v>
      </c>
      <c r="S64" s="302">
        <f t="shared" ref="S64" si="57">IFERROR(ROUND((N64/$L64)*$E64,2),0)</f>
        <v>0</v>
      </c>
      <c r="T64" s="300"/>
      <c r="U64" s="301"/>
      <c r="V64" s="301"/>
      <c r="W64" s="301"/>
      <c r="X64" s="302"/>
      <c r="Y64" s="375"/>
      <c r="Z64" s="301"/>
      <c r="AA64" s="301"/>
      <c r="AB64" s="301"/>
      <c r="AC64" s="301"/>
      <c r="AD64" s="301"/>
    </row>
    <row r="65" spans="1:30" hidden="1">
      <c r="A65" s="138">
        <v>8504164</v>
      </c>
      <c r="B65" s="138" t="s">
        <v>37</v>
      </c>
      <c r="C65" s="105">
        <f>SUMIFS(APN!$I$3:$I$97,APN!$A$3:$A$97,RIGHT(A65,4))</f>
        <v>12</v>
      </c>
      <c r="D65" s="184">
        <f>SUMIFS(APN!$J$3:$J$97,APN!$A$3:$A$97,RIGHT(A65,4))</f>
        <v>12</v>
      </c>
      <c r="E65" s="108">
        <f>SUM(C65/12*5)+(D65/12*7)</f>
        <v>12</v>
      </c>
      <c r="F65" s="107">
        <f>SUMIFS(APN!$L$3:$L$97,APN!$A$3:$A$97,RIGHT(Data!A65,4)*1,APN!$H$3:$H$97,Data!J65)</f>
        <v>12</v>
      </c>
      <c r="G65" s="292">
        <f>E65-F65</f>
        <v>0</v>
      </c>
      <c r="H65" s="290">
        <v>0</v>
      </c>
      <c r="I65" s="217" t="s">
        <v>217</v>
      </c>
      <c r="J65" s="376" t="s">
        <v>218</v>
      </c>
      <c r="K65" s="139"/>
      <c r="L65" s="213">
        <f>IFERROR(VLOOKUP(RIGHT($A65,4)*1,'Autumn term 2025'!$AA$6:$AM$54,12,FALSE),0)</f>
        <v>16</v>
      </c>
      <c r="M65" s="454">
        <f>IFERROR(VLOOKUP(RIGHT($A65,4)*1,'Autumn term 2025'!$U$6:$X$16,3,FALSE),0)</f>
        <v>0</v>
      </c>
      <c r="N65" s="455">
        <f>IFERROR(VLOOKUP(RIGHT($A65,4)*1,'Autumn term 2025'!$U$6:$X$16,2,FALSE),0)</f>
        <v>0</v>
      </c>
      <c r="O65" s="38"/>
      <c r="P65" s="373"/>
      <c r="Q65" s="374"/>
      <c r="R65" s="301">
        <f>IFERROR(ROUND((M65/$L65)*$E65,2),0)</f>
        <v>0</v>
      </c>
      <c r="S65" s="302">
        <f>IFERROR(ROUND((N65/$L65)*$E65,2),0)</f>
        <v>0</v>
      </c>
      <c r="T65" s="300"/>
      <c r="U65" s="301"/>
      <c r="V65" s="301"/>
      <c r="W65" s="301"/>
      <c r="X65" s="302"/>
      <c r="Y65" s="375"/>
      <c r="Z65" s="301"/>
      <c r="AA65" s="301"/>
      <c r="AB65" s="301"/>
      <c r="AC65" s="301"/>
      <c r="AD65" s="301"/>
    </row>
    <row r="66" spans="1:30" hidden="1">
      <c r="A66" s="138">
        <v>8504173</v>
      </c>
      <c r="B66" s="138" t="s">
        <v>34</v>
      </c>
      <c r="C66" s="105">
        <f>SUMIFS(APN!$I$3:$I$97,APN!$A$3:$A$97,RIGHT(A66,4))</f>
        <v>21</v>
      </c>
      <c r="D66" s="184">
        <f>SUMIFS(APN!$J$3:$J$97,APN!$A$3:$A$97,RIGHT(A66,4))</f>
        <v>21</v>
      </c>
      <c r="E66" s="108">
        <f t="shared" si="2"/>
        <v>21</v>
      </c>
      <c r="F66" s="107">
        <f>SUMIFS(APN!$L$3:$L$97,APN!$A$3:$A$97,RIGHT(Data!A66,4)*1,APN!$H$3:$H$97,Data!J66)</f>
        <v>21</v>
      </c>
      <c r="G66" s="292">
        <f t="shared" si="32"/>
        <v>0</v>
      </c>
      <c r="H66" s="290">
        <v>0</v>
      </c>
      <c r="I66" s="217" t="s">
        <v>217</v>
      </c>
      <c r="J66" s="376" t="s">
        <v>141</v>
      </c>
      <c r="K66" s="139"/>
      <c r="L66" s="213">
        <f>IFERROR(VLOOKUP(RIGHT($A66,4)*1,'Autumn term 2025'!$AA$6:$AM$54,12,FALSE),0)</f>
        <v>17</v>
      </c>
      <c r="M66" s="454">
        <f>IFERROR(VLOOKUP(RIGHT($A66,4)*1,'Autumn term 2025'!$U$6:$X$16,3,FALSE),0)</f>
        <v>0</v>
      </c>
      <c r="N66" s="455">
        <f>IFERROR(VLOOKUP(RIGHT($A66,4)*1,'Autumn term 2025'!$U$6:$X$16,2,FALSE),0)</f>
        <v>0</v>
      </c>
      <c r="O66" s="38"/>
      <c r="P66" s="373"/>
      <c r="Q66" s="374"/>
      <c r="R66" s="301">
        <f t="shared" si="0"/>
        <v>0</v>
      </c>
      <c r="S66" s="302">
        <f t="shared" si="1"/>
        <v>0</v>
      </c>
      <c r="T66" s="300"/>
      <c r="U66" s="301"/>
      <c r="V66" s="301"/>
      <c r="W66" s="301"/>
      <c r="X66" s="302"/>
      <c r="Y66" s="375"/>
      <c r="Z66" s="301"/>
      <c r="AA66" s="301"/>
      <c r="AB66" s="301"/>
      <c r="AC66" s="301"/>
      <c r="AD66" s="301"/>
    </row>
    <row r="67" spans="1:30" hidden="1">
      <c r="A67" s="138">
        <v>8504174</v>
      </c>
      <c r="B67" s="138" t="s">
        <v>35</v>
      </c>
      <c r="C67" s="105">
        <f>SUMIFS(APN!$I$3:$I$97,APN!$A$3:$A$97,RIGHT(A67,4))</f>
        <v>6</v>
      </c>
      <c r="D67" s="184">
        <f>SUMIFS(APN!$J$3:$J$97,APN!$A$3:$A$97,RIGHT(A67,4))</f>
        <v>6</v>
      </c>
      <c r="E67" s="108">
        <f t="shared" si="2"/>
        <v>6</v>
      </c>
      <c r="F67" s="107">
        <f>SUMIFS(APN!$L$3:$L$97,APN!$A$3:$A$97,RIGHT(Data!A67,4)*1,APN!$H$3:$H$97,Data!J67)</f>
        <v>6</v>
      </c>
      <c r="G67" s="292">
        <f t="shared" si="32"/>
        <v>0</v>
      </c>
      <c r="H67" s="290">
        <v>0</v>
      </c>
      <c r="I67" s="217" t="s">
        <v>217</v>
      </c>
      <c r="J67" s="376" t="s">
        <v>215</v>
      </c>
      <c r="K67" s="139"/>
      <c r="L67" s="213">
        <f>IFERROR(VLOOKUP(RIGHT($A67,4)*1,'Autumn term 2025'!$AA$6:$AM$54,12,FALSE),0)</f>
        <v>5</v>
      </c>
      <c r="M67" s="454">
        <f>IFERROR(VLOOKUP(RIGHT($A67,4)*1,'Autumn term 2025'!$U$6:$X$16,3,FALSE),0)</f>
        <v>0</v>
      </c>
      <c r="N67" s="455">
        <f>IFERROR(VLOOKUP(RIGHT($A67,4)*1,'Autumn term 2025'!$U$6:$X$16,2,FALSE),0)</f>
        <v>0</v>
      </c>
      <c r="O67" s="38"/>
      <c r="P67" s="373"/>
      <c r="Q67" s="374" t="s">
        <v>215</v>
      </c>
      <c r="R67" s="301">
        <f t="shared" si="0"/>
        <v>0</v>
      </c>
      <c r="S67" s="302">
        <f t="shared" si="1"/>
        <v>0</v>
      </c>
      <c r="T67" s="300"/>
      <c r="U67" s="301"/>
      <c r="V67" s="301"/>
      <c r="W67" s="301"/>
      <c r="X67" s="302"/>
      <c r="Y67" s="375"/>
      <c r="Z67" s="301"/>
      <c r="AA67" s="301"/>
      <c r="AB67" s="301"/>
      <c r="AC67" s="301"/>
      <c r="AD67" s="301"/>
    </row>
    <row r="68" spans="1:30" hidden="1">
      <c r="A68" s="138">
        <v>8504180</v>
      </c>
      <c r="B68" s="138" t="s">
        <v>36</v>
      </c>
      <c r="C68" s="105">
        <f>SUMIFS(APN!$I$3:$I$97,APN!$A$3:$A$97,RIGHT(A68,4))</f>
        <v>12</v>
      </c>
      <c r="D68" s="184">
        <f>SUMIFS(APN!$J$3:$J$97,APN!$A$3:$A$97,RIGHT(A68,4))</f>
        <v>12</v>
      </c>
      <c r="E68" s="108">
        <f t="shared" si="2"/>
        <v>12</v>
      </c>
      <c r="F68" s="107">
        <f>SUMIFS(APN!$L$3:$L$97,APN!$A$3:$A$97,RIGHT(Data!A68,4)*1,APN!$H$3:$H$97,Data!J68)</f>
        <v>12</v>
      </c>
      <c r="G68" s="292">
        <f t="shared" si="32"/>
        <v>0</v>
      </c>
      <c r="H68" s="290">
        <v>0</v>
      </c>
      <c r="I68" s="217" t="s">
        <v>217</v>
      </c>
      <c r="J68" s="376" t="s">
        <v>142</v>
      </c>
      <c r="K68" s="139"/>
      <c r="L68" s="213">
        <f>IFERROR(VLOOKUP(RIGHT($A68,4)*1,'Autumn term 2025'!$AA$6:$AM$54,12,FALSE),0)</f>
        <v>9</v>
      </c>
      <c r="M68" s="454">
        <f>IFERROR(VLOOKUP(RIGHT($A68,4)*1,'Autumn term 2025'!$U$6:$X$16,3,FALSE),0)</f>
        <v>0</v>
      </c>
      <c r="N68" s="455">
        <f>IFERROR(VLOOKUP(RIGHT($A68,4)*1,'Autumn term 2025'!$U$6:$X$16,2,FALSE),0)</f>
        <v>0</v>
      </c>
      <c r="O68" s="38"/>
      <c r="P68" s="373"/>
      <c r="Q68" s="374"/>
      <c r="R68" s="301">
        <f t="shared" si="0"/>
        <v>0</v>
      </c>
      <c r="S68" s="302">
        <f t="shared" si="1"/>
        <v>0</v>
      </c>
      <c r="T68" s="300"/>
      <c r="U68" s="301"/>
      <c r="V68" s="301"/>
      <c r="W68" s="301"/>
      <c r="X68" s="302"/>
      <c r="Y68" s="375"/>
      <c r="Z68" s="301"/>
      <c r="AA68" s="301"/>
      <c r="AB68" s="301"/>
      <c r="AC68" s="301"/>
      <c r="AD68" s="301"/>
    </row>
    <row r="69" spans="1:30" hidden="1">
      <c r="A69" s="264">
        <v>8504191</v>
      </c>
      <c r="B69" s="264" t="s">
        <v>177</v>
      </c>
      <c r="C69" s="105">
        <f>SUMIFS(APN!$I$3:$I$97,APN!$A$3:$A$97,RIGHT(A69,4))</f>
        <v>22</v>
      </c>
      <c r="D69" s="184">
        <f>SUMIFS(APN!$J$3:$J$97,APN!$A$3:$A$97,RIGHT(A69,4))</f>
        <v>22</v>
      </c>
      <c r="E69" s="108">
        <f t="shared" si="2"/>
        <v>22</v>
      </c>
      <c r="F69" s="107">
        <f>SUMIFS(APN!$L$3:$L$97,APN!$A$3:$A$97,RIGHT(Data!A69,4)*1,APN!$H$3:$H$97,Data!J69)</f>
        <v>8</v>
      </c>
      <c r="G69" s="292">
        <f t="shared" si="32"/>
        <v>14</v>
      </c>
      <c r="H69" s="290">
        <v>0</v>
      </c>
      <c r="I69" s="217" t="s">
        <v>217</v>
      </c>
      <c r="J69" s="376" t="s">
        <v>218</v>
      </c>
      <c r="K69" s="139"/>
      <c r="L69" s="213">
        <f>IFERROR(VLOOKUP(RIGHT($A69,4)*1,'Autumn term 2025'!$AA$6:$AM$54,12,FALSE),0)</f>
        <v>16</v>
      </c>
      <c r="M69" s="454">
        <f>IFERROR(VLOOKUP(RIGHT($A69,4)*1,'Autumn term 2025'!$U$6:$X$16,3,FALSE),0)</f>
        <v>0</v>
      </c>
      <c r="N69" s="455">
        <f>IFERROR(VLOOKUP(RIGHT($A69,4)*1,'Autumn term 2025'!$U$6:$X$16,2,FALSE),0)</f>
        <v>0</v>
      </c>
      <c r="O69" s="38"/>
      <c r="P69" s="373"/>
      <c r="Q69" s="374" t="s">
        <v>130</v>
      </c>
      <c r="R69" s="301">
        <f t="shared" si="0"/>
        <v>0</v>
      </c>
      <c r="S69" s="302">
        <f t="shared" si="1"/>
        <v>0</v>
      </c>
      <c r="T69" s="300"/>
      <c r="U69" s="301"/>
      <c r="V69" s="301"/>
      <c r="W69" s="301">
        <f>G69</f>
        <v>14</v>
      </c>
      <c r="X69" s="302"/>
      <c r="Y69" s="375"/>
      <c r="Z69" s="301"/>
      <c r="AA69" s="301"/>
      <c r="AB69" s="301"/>
      <c r="AC69" s="301"/>
      <c r="AD69" s="301"/>
    </row>
    <row r="70" spans="1:30" hidden="1">
      <c r="A70" s="138">
        <v>8504203</v>
      </c>
      <c r="B70" s="138" t="s">
        <v>39</v>
      </c>
      <c r="C70" s="105">
        <f>SUMIFS(APN!$I$3:$I$97,APN!$A$3:$A$97,RIGHT(A70,4))</f>
        <v>5</v>
      </c>
      <c r="D70" s="184">
        <f>SUMIFS(APN!$J$3:$J$97,APN!$A$3:$A$97,RIGHT(A70,4))</f>
        <v>5</v>
      </c>
      <c r="E70" s="108">
        <f t="shared" si="2"/>
        <v>5</v>
      </c>
      <c r="F70" s="107">
        <f>SUMIFS(APN!$L$3:$L$97,APN!$A$3:$A$97,RIGHT(Data!A70,4)*1,APN!$H$3:$H$97,Data!J70)</f>
        <v>5</v>
      </c>
      <c r="G70" s="292">
        <f t="shared" si="32"/>
        <v>0</v>
      </c>
      <c r="H70" s="290">
        <v>0</v>
      </c>
      <c r="I70" s="217" t="s">
        <v>217</v>
      </c>
      <c r="J70" s="376" t="s">
        <v>215</v>
      </c>
      <c r="K70" s="139"/>
      <c r="L70" s="213">
        <f>IFERROR(VLOOKUP(RIGHT($A70,4)*1,'Autumn term 2025'!$AA$6:$AM$54,12,FALSE),0)</f>
        <v>3</v>
      </c>
      <c r="M70" s="454">
        <f>IFERROR(VLOOKUP(RIGHT($A70,4)*1,'Autumn term 2025'!$U$6:$X$16,3,FALSE),0)</f>
        <v>0</v>
      </c>
      <c r="N70" s="455">
        <f>IFERROR(VLOOKUP(RIGHT($A70,4)*1,'Autumn term 2025'!$U$6:$X$16,2,FALSE),0)</f>
        <v>1</v>
      </c>
      <c r="O70" s="38"/>
      <c r="P70" s="373"/>
      <c r="Q70" s="374" t="s">
        <v>215</v>
      </c>
      <c r="R70" s="301">
        <f t="shared" si="0"/>
        <v>0</v>
      </c>
      <c r="S70" s="302">
        <f t="shared" si="1"/>
        <v>1.67</v>
      </c>
      <c r="T70" s="300"/>
      <c r="U70" s="301"/>
      <c r="V70" s="301"/>
      <c r="W70" s="301"/>
      <c r="X70" s="302"/>
      <c r="Y70" s="375"/>
      <c r="Z70" s="301"/>
      <c r="AA70" s="301"/>
      <c r="AB70" s="301"/>
      <c r="AC70" s="301"/>
      <c r="AD70" s="301"/>
    </row>
    <row r="71" spans="1:30" hidden="1">
      <c r="A71" s="264">
        <v>8504206</v>
      </c>
      <c r="B71" s="264" t="s">
        <v>40</v>
      </c>
      <c r="C71" s="105">
        <f>SUMIFS(APN!$I$3:$I$97,APN!$A$3:$A$97,RIGHT(A71,4))</f>
        <v>16</v>
      </c>
      <c r="D71" s="184">
        <f>SUMIFS(APN!$J$3:$J$97,APN!$A$3:$A$97,RIGHT(A71,4))</f>
        <v>20</v>
      </c>
      <c r="E71" s="108">
        <f t="shared" si="2"/>
        <v>18.333333333333336</v>
      </c>
      <c r="F71" s="107">
        <f>SUMIFS(APN!$L$3:$L$97,APN!$A$3:$A$97,RIGHT(Data!A71,4)*1,APN!$H$3:$H$97,Data!J71)</f>
        <v>12.5</v>
      </c>
      <c r="G71" s="292">
        <f t="shared" si="32"/>
        <v>5.8333333333333357</v>
      </c>
      <c r="H71" s="290">
        <v>0</v>
      </c>
      <c r="I71" s="217" t="s">
        <v>217</v>
      </c>
      <c r="J71" s="376" t="s">
        <v>218</v>
      </c>
      <c r="K71" s="139"/>
      <c r="L71" s="213">
        <f>IFERROR(VLOOKUP(RIGHT($A71,4)*1,'Autumn term 2025'!$AA$6:$AM$54,12,FALSE),0)</f>
        <v>13</v>
      </c>
      <c r="M71" s="454">
        <f>IFERROR(VLOOKUP(RIGHT($A71,4)*1,'Autumn term 2025'!$U$6:$X$16,3,FALSE),0)</f>
        <v>0</v>
      </c>
      <c r="N71" s="455">
        <f>IFERROR(VLOOKUP(RIGHT($A71,4)*1,'Autumn term 2025'!$U$6:$X$16,2,FALSE),0)</f>
        <v>0</v>
      </c>
      <c r="O71" s="38"/>
      <c r="P71" s="373"/>
      <c r="Q71" s="464" t="s">
        <v>130</v>
      </c>
      <c r="R71" s="301">
        <f t="shared" si="0"/>
        <v>0</v>
      </c>
      <c r="S71" s="302">
        <f t="shared" si="1"/>
        <v>0</v>
      </c>
      <c r="T71" s="300"/>
      <c r="U71" s="301"/>
      <c r="V71" s="301"/>
      <c r="W71" s="301">
        <f>G71</f>
        <v>5.8333333333333357</v>
      </c>
      <c r="X71" s="302"/>
      <c r="Y71" s="375"/>
      <c r="Z71" s="301"/>
      <c r="AA71" s="301"/>
      <c r="AB71" s="301"/>
      <c r="AC71" s="301"/>
      <c r="AD71" s="301"/>
    </row>
    <row r="72" spans="1:30" hidden="1">
      <c r="A72" s="138">
        <v>8504308</v>
      </c>
      <c r="B72" s="138" t="s">
        <v>41</v>
      </c>
      <c r="C72" s="105">
        <f>SUMIFS(APN!$I$3:$I$97,APN!$A$3:$A$97,RIGHT(A72,4))</f>
        <v>6</v>
      </c>
      <c r="D72" s="184">
        <f>SUMIFS(APN!$J$3:$J$97,APN!$A$3:$A$97,RIGHT(A72,4))</f>
        <v>6</v>
      </c>
      <c r="E72" s="108">
        <f t="shared" si="2"/>
        <v>6</v>
      </c>
      <c r="F72" s="107">
        <f>SUMIFS(APN!$L$3:$L$97,APN!$A$3:$A$97,RIGHT(Data!A72,4)*1,APN!$H$3:$H$97,Data!J72)</f>
        <v>6</v>
      </c>
      <c r="G72" s="292">
        <f t="shared" si="32"/>
        <v>0</v>
      </c>
      <c r="H72" s="290">
        <v>0</v>
      </c>
      <c r="I72" s="217" t="s">
        <v>217</v>
      </c>
      <c r="J72" s="376" t="s">
        <v>215</v>
      </c>
      <c r="K72" s="139">
        <v>1</v>
      </c>
      <c r="L72" s="213">
        <f>IFERROR(VLOOKUP(RIGHT($A72,4)*1,'Autumn term 2025'!$AA$6:$AM$54,12,FALSE),0)</f>
        <v>2</v>
      </c>
      <c r="M72" s="454">
        <f>IFERROR(VLOOKUP(RIGHT($A72,4)*1,'Autumn term 2025'!$U$6:$X$16,3,FALSE),0)</f>
        <v>0</v>
      </c>
      <c r="N72" s="455">
        <f>IFERROR(VLOOKUP(RIGHT($A72,4)*1,'Autumn term 2025'!$U$6:$X$16,2,FALSE),0)</f>
        <v>0</v>
      </c>
      <c r="O72" s="38"/>
      <c r="P72" s="373"/>
      <c r="Q72" s="374" t="s">
        <v>215</v>
      </c>
      <c r="R72" s="301">
        <f t="shared" si="0"/>
        <v>0</v>
      </c>
      <c r="S72" s="302">
        <f t="shared" si="1"/>
        <v>0</v>
      </c>
      <c r="T72" s="300"/>
      <c r="U72" s="301"/>
      <c r="V72" s="301"/>
      <c r="W72" s="301"/>
      <c r="X72" s="302"/>
      <c r="Y72" s="375"/>
      <c r="Z72" s="301"/>
      <c r="AA72" s="301"/>
      <c r="AB72" s="301"/>
      <c r="AC72" s="301"/>
      <c r="AD72" s="301"/>
    </row>
    <row r="73" spans="1:30" hidden="1">
      <c r="A73" s="138">
        <v>8504310</v>
      </c>
      <c r="B73" s="138" t="s">
        <v>42</v>
      </c>
      <c r="C73" s="105">
        <f>SUMIFS(APN!$I$3:$I$97,APN!$A$3:$A$97,RIGHT(A73,4))</f>
        <v>6</v>
      </c>
      <c r="D73" s="184">
        <f>SUMIFS(APN!$J$3:$J$97,APN!$A$3:$A$97,RIGHT(A73,4))</f>
        <v>6</v>
      </c>
      <c r="E73" s="108">
        <f t="shared" si="2"/>
        <v>6</v>
      </c>
      <c r="F73" s="107">
        <f>SUMIFS(APN!$L$3:$L$97,APN!$A$3:$A$97,RIGHT(Data!A73,4)*1,APN!$H$3:$H$97,Data!J73)</f>
        <v>6</v>
      </c>
      <c r="G73" s="292">
        <f t="shared" si="32"/>
        <v>0</v>
      </c>
      <c r="H73" s="290">
        <v>0</v>
      </c>
      <c r="I73" s="217" t="s">
        <v>217</v>
      </c>
      <c r="J73" s="376" t="s">
        <v>220</v>
      </c>
      <c r="K73" s="139"/>
      <c r="L73" s="213">
        <f>IFERROR(VLOOKUP(RIGHT($A73,4)*1,'Autumn term 2025'!$AA$6:$AM$54,12,FALSE),0)</f>
        <v>4</v>
      </c>
      <c r="M73" s="454">
        <f>IFERROR(VLOOKUP(RIGHT($A73,4)*1,'Autumn term 2025'!$U$6:$X$16,3,FALSE),0)</f>
        <v>0</v>
      </c>
      <c r="N73" s="455">
        <f>IFERROR(VLOOKUP(RIGHT($A73,4)*1,'Autumn term 2025'!$U$6:$X$16,2,FALSE),0)</f>
        <v>0</v>
      </c>
      <c r="O73" s="38"/>
      <c r="P73" s="373"/>
      <c r="Q73" s="374"/>
      <c r="R73" s="301">
        <f t="shared" si="0"/>
        <v>0</v>
      </c>
      <c r="S73" s="302">
        <f t="shared" si="1"/>
        <v>0</v>
      </c>
      <c r="T73" s="300"/>
      <c r="U73" s="301"/>
      <c r="V73" s="301"/>
      <c r="W73" s="301"/>
      <c r="X73" s="302"/>
      <c r="Y73" s="375"/>
      <c r="Z73" s="301"/>
      <c r="AA73" s="301"/>
      <c r="AB73" s="301"/>
      <c r="AC73" s="301"/>
      <c r="AD73" s="301"/>
    </row>
    <row r="74" spans="1:30" hidden="1">
      <c r="A74" s="138">
        <v>8504511</v>
      </c>
      <c r="B74" s="138" t="s">
        <v>43</v>
      </c>
      <c r="C74" s="105">
        <f>SUMIFS(APN!$I$3:$I$97,APN!$A$3:$A$97,RIGHT(A74,4))</f>
        <v>12</v>
      </c>
      <c r="D74" s="184">
        <f>SUMIFS(APN!$J$3:$J$97,APN!$A$3:$A$97,RIGHT(A74,4))</f>
        <v>15</v>
      </c>
      <c r="E74" s="108">
        <f t="shared" si="2"/>
        <v>13.75</v>
      </c>
      <c r="F74" s="107">
        <f>SUMIFS(APN!$L$3:$L$97,APN!$A$3:$A$97,RIGHT(Data!A74,4)*1,APN!$H$3:$H$97,Data!J74)</f>
        <v>13.75</v>
      </c>
      <c r="G74" s="292">
        <f t="shared" si="32"/>
        <v>0</v>
      </c>
      <c r="H74" s="290">
        <v>0</v>
      </c>
      <c r="I74" s="217" t="s">
        <v>217</v>
      </c>
      <c r="J74" s="376" t="s">
        <v>141</v>
      </c>
      <c r="K74" s="139">
        <v>1</v>
      </c>
      <c r="L74" s="213">
        <f>IFERROR(VLOOKUP(RIGHT($A74,4)*1,'Autumn term 2025'!$AA$6:$AM$54,12,FALSE),0)</f>
        <v>13</v>
      </c>
      <c r="M74" s="454">
        <f>IFERROR(VLOOKUP(RIGHT($A74,4)*1,'Autumn term 2025'!$U$6:$X$16,3,FALSE),0)</f>
        <v>0</v>
      </c>
      <c r="N74" s="455">
        <f>IFERROR(VLOOKUP(RIGHT($A74,4)*1,'Autumn term 2025'!$U$6:$X$16,2,FALSE),0)</f>
        <v>0</v>
      </c>
      <c r="O74" s="38"/>
      <c r="P74" s="373"/>
      <c r="Q74" s="374"/>
      <c r="R74" s="301">
        <f t="shared" si="0"/>
        <v>0</v>
      </c>
      <c r="S74" s="302">
        <f t="shared" si="1"/>
        <v>0</v>
      </c>
      <c r="T74" s="300"/>
      <c r="U74" s="301"/>
      <c r="V74" s="301"/>
      <c r="W74" s="301"/>
      <c r="X74" s="302"/>
      <c r="Y74" s="375"/>
      <c r="Z74" s="301"/>
      <c r="AA74" s="301"/>
      <c r="AB74" s="301"/>
      <c r="AC74" s="301"/>
      <c r="AD74" s="301"/>
    </row>
    <row r="75" spans="1:30" hidden="1">
      <c r="A75" s="138">
        <v>8505205</v>
      </c>
      <c r="B75" s="138" t="s">
        <v>178</v>
      </c>
      <c r="C75" s="105">
        <f>SUMIFS(APN!$I$3:$I$97,APN!$A$3:$A$97,RIGHT(A75,4))</f>
        <v>0</v>
      </c>
      <c r="D75" s="184">
        <f>SUMIFS(APN!$J$3:$J$97,APN!$A$3:$A$97,RIGHT(A75,4))</f>
        <v>0</v>
      </c>
      <c r="E75" s="108">
        <f t="shared" ref="E75" si="58">SUM(C75/12*5)+(D75/12*7)</f>
        <v>0</v>
      </c>
      <c r="F75" s="107">
        <f>SUMIFS(APN!$L$3:$L$97,APN!$A$3:$A$97,RIGHT(Data!A75,4)*1,APN!$H$3:$H$97,Data!J75)</f>
        <v>0</v>
      </c>
      <c r="G75" s="292">
        <f t="shared" ref="G75" si="59">E75-F75</f>
        <v>0</v>
      </c>
      <c r="H75" s="290">
        <v>0</v>
      </c>
      <c r="I75" s="217" t="s">
        <v>212</v>
      </c>
      <c r="J75" s="376" t="s">
        <v>130</v>
      </c>
      <c r="K75" s="139">
        <v>1</v>
      </c>
      <c r="L75" s="213">
        <f>IFERROR(VLOOKUP(RIGHT($A75,4)*1,'Autumn term 2025'!$AA$6:$AM$54,12,FALSE),0)</f>
        <v>0</v>
      </c>
      <c r="M75" s="454">
        <f>IFERROR(VLOOKUP(RIGHT($A75,4)*1,'Autumn term 2025'!$U$6:$X$16,3,FALSE),0)</f>
        <v>0</v>
      </c>
      <c r="N75" s="455">
        <f>IFERROR(VLOOKUP(RIGHT($A75,4)*1,'Autumn term 2025'!$U$6:$X$16,2,FALSE),0)</f>
        <v>0</v>
      </c>
      <c r="O75" s="38"/>
      <c r="P75" s="373"/>
      <c r="Q75" s="374"/>
      <c r="R75" s="301">
        <f t="shared" ref="R75" si="60">IFERROR(ROUND((M75/$L75)*$E75,2),0)</f>
        <v>0</v>
      </c>
      <c r="S75" s="302">
        <f t="shared" ref="S75" si="61">IFERROR(ROUND((N75/$L75)*$E75,2),0)</f>
        <v>0</v>
      </c>
      <c r="T75" s="300"/>
      <c r="U75" s="301"/>
      <c r="V75" s="301"/>
      <c r="W75" s="301"/>
      <c r="X75" s="302"/>
      <c r="Y75" s="375"/>
      <c r="Z75" s="301"/>
      <c r="AA75" s="301"/>
      <c r="AB75" s="301"/>
      <c r="AC75" s="301"/>
      <c r="AD75" s="301"/>
    </row>
    <row r="76" spans="1:30" hidden="1">
      <c r="A76" s="185">
        <v>8505208</v>
      </c>
      <c r="B76" s="185" t="s">
        <v>44</v>
      </c>
      <c r="C76" s="105">
        <f>SUMIFS(APN!$I$3:$I$97,APN!$A$3:$A$97,RIGHT(A76,4))</f>
        <v>14</v>
      </c>
      <c r="D76" s="184">
        <f>SUMIFS(APN!$J$3:$J$97,APN!$A$3:$A$97,RIGHT(A76,4))</f>
        <v>14</v>
      </c>
      <c r="E76" s="108">
        <f t="shared" si="2"/>
        <v>14.000000000000002</v>
      </c>
      <c r="F76" s="107">
        <f>SUMIFS(APN!$L$3:$L$97,APN!$A$3:$A$97,RIGHT(Data!A76,4)*1,APN!$H$3:$H$97,Data!J76)</f>
        <v>14</v>
      </c>
      <c r="G76" s="292">
        <f t="shared" si="32"/>
        <v>0</v>
      </c>
      <c r="H76" s="290">
        <v>0</v>
      </c>
      <c r="I76" s="217" t="s">
        <v>212</v>
      </c>
      <c r="J76" s="376" t="s">
        <v>143</v>
      </c>
      <c r="K76" s="139"/>
      <c r="L76" s="213">
        <f>IFERROR(VLOOKUP(RIGHT($A76,4)*1,'Autumn term 2025'!$AA$6:$AM$54,12,FALSE),0)</f>
        <v>15</v>
      </c>
      <c r="M76" s="454">
        <f>IFERROR(VLOOKUP(RIGHT($A76,4)*1,'Autumn term 2025'!$U$6:$X$16,3,FALSE),0)</f>
        <v>0</v>
      </c>
      <c r="N76" s="455">
        <f>IFERROR(VLOOKUP(RIGHT($A76,4)*1,'Autumn term 2025'!$U$6:$X$16,2,FALSE),0)</f>
        <v>0</v>
      </c>
      <c r="O76" s="38"/>
      <c r="P76" s="373"/>
      <c r="Q76" s="552"/>
      <c r="R76" s="301">
        <f t="shared" si="0"/>
        <v>0</v>
      </c>
      <c r="S76" s="302">
        <f t="shared" si="1"/>
        <v>0</v>
      </c>
      <c r="T76" s="300"/>
      <c r="U76" s="301"/>
      <c r="V76" s="301"/>
      <c r="W76" s="301"/>
      <c r="X76" s="302">
        <f>G76</f>
        <v>0</v>
      </c>
      <c r="Y76" s="375"/>
      <c r="Z76" s="301"/>
      <c r="AA76" s="301"/>
      <c r="AB76" s="301"/>
      <c r="AC76" s="301"/>
      <c r="AD76" s="301"/>
    </row>
    <row r="77" spans="1:30" hidden="1">
      <c r="A77" s="138">
        <v>8505405</v>
      </c>
      <c r="B77" s="138" t="s">
        <v>45</v>
      </c>
      <c r="C77" s="105">
        <f>SUMIFS(APN!$I$3:$I$97,APN!$A$3:$A$97,RIGHT(A77,4))</f>
        <v>12</v>
      </c>
      <c r="D77" s="184">
        <f>SUMIFS(APN!$J$3:$J$97,APN!$A$3:$A$97,RIGHT(A77,4))</f>
        <v>12</v>
      </c>
      <c r="E77" s="108">
        <f t="shared" si="2"/>
        <v>12</v>
      </c>
      <c r="F77" s="107">
        <f>SUMIFS(APN!$L$3:$L$97,APN!$A$3:$A$97,RIGHT(Data!A77,4)*1,APN!$H$3:$H$97,Data!J77)</f>
        <v>12</v>
      </c>
      <c r="G77" s="292">
        <f t="shared" si="32"/>
        <v>0</v>
      </c>
      <c r="H77" s="290">
        <v>0</v>
      </c>
      <c r="I77" s="217" t="s">
        <v>217</v>
      </c>
      <c r="J77" s="376" t="s">
        <v>141</v>
      </c>
      <c r="K77" s="139">
        <v>1</v>
      </c>
      <c r="L77" s="213">
        <f>IFERROR(VLOOKUP(RIGHT($A77,4)*1,'Autumn term 2025'!$AA$6:$AM$54,12,FALSE),0)</f>
        <v>12</v>
      </c>
      <c r="M77" s="454">
        <f>IFERROR(VLOOKUP(RIGHT($A77,4)*1,'Autumn term 2025'!$U$6:$X$16,3,FALSE),0)</f>
        <v>0</v>
      </c>
      <c r="N77" s="455">
        <f>IFERROR(VLOOKUP(RIGHT($A77,4)*1,'Autumn term 2025'!$U$6:$X$16,2,FALSE),0)</f>
        <v>0</v>
      </c>
      <c r="O77" s="38"/>
      <c r="P77" s="373"/>
      <c r="Q77" s="374"/>
      <c r="R77" s="301">
        <f t="shared" si="0"/>
        <v>0</v>
      </c>
      <c r="S77" s="302">
        <f t="shared" si="1"/>
        <v>0</v>
      </c>
      <c r="T77" s="300"/>
      <c r="U77" s="301"/>
      <c r="V77" s="301"/>
      <c r="W77" s="301"/>
      <c r="X77" s="302"/>
      <c r="Y77" s="375"/>
      <c r="Z77" s="301"/>
      <c r="AA77" s="301"/>
      <c r="AB77" s="301"/>
      <c r="AC77" s="301"/>
      <c r="AD77" s="301"/>
    </row>
    <row r="78" spans="1:30" hidden="1">
      <c r="A78" s="138">
        <v>8505406</v>
      </c>
      <c r="B78" s="465" t="s">
        <v>179</v>
      </c>
      <c r="C78" s="105">
        <f>SUMIFS(APN!$I$3:$I$97,APN!$A$3:$A$97,RIGHT(A78,4))</f>
        <v>0</v>
      </c>
      <c r="D78" s="184">
        <f>SUMIFS(APN!$J$3:$J$97,APN!$A$3:$A$97,RIGHT(A78,4))</f>
        <v>0</v>
      </c>
      <c r="E78" s="108">
        <f t="shared" si="2"/>
        <v>0</v>
      </c>
      <c r="F78" s="107">
        <f>SUMIFS(APN!$L$3:$L$97,APN!$A$3:$A$97,RIGHT(Data!A78,4)*1,APN!$H$3:$H$97,Data!J78)</f>
        <v>0</v>
      </c>
      <c r="G78" s="292">
        <f t="shared" si="32"/>
        <v>0</v>
      </c>
      <c r="H78" s="290">
        <v>0</v>
      </c>
      <c r="I78" s="217" t="s">
        <v>217</v>
      </c>
      <c r="J78" s="376" t="s">
        <v>141</v>
      </c>
      <c r="K78" s="139">
        <v>1</v>
      </c>
      <c r="L78" s="213">
        <f>IFERROR(VLOOKUP(RIGHT($A78,4)*1,'Autumn term 2025'!$AA$6:$AM$54,12,FALSE),0)</f>
        <v>0</v>
      </c>
      <c r="M78" s="454">
        <f>IFERROR(VLOOKUP(RIGHT($A78,4)*1,'Autumn term 2025'!$U$6:$X$16,3,FALSE),0)</f>
        <v>0</v>
      </c>
      <c r="N78" s="455">
        <f>IFERROR(VLOOKUP(RIGHT($A78,4)*1,'Autumn term 2025'!$U$6:$X$16,2,FALSE),0)</f>
        <v>0</v>
      </c>
      <c r="O78" s="38"/>
      <c r="P78" s="373"/>
      <c r="Q78" s="374"/>
      <c r="R78" s="301">
        <f t="shared" si="0"/>
        <v>0</v>
      </c>
      <c r="S78" s="302">
        <f t="shared" si="1"/>
        <v>0</v>
      </c>
      <c r="T78" s="300"/>
      <c r="U78" s="301"/>
      <c r="V78" s="301"/>
      <c r="W78" s="301"/>
      <c r="X78" s="302"/>
      <c r="Y78" s="375"/>
      <c r="Z78" s="301"/>
      <c r="AA78" s="301"/>
      <c r="AB78" s="301"/>
      <c r="AC78" s="301"/>
      <c r="AD78" s="301"/>
    </row>
    <row r="79" spans="1:30" hidden="1">
      <c r="A79" s="138">
        <v>8505408</v>
      </c>
      <c r="B79" s="465" t="s">
        <v>180</v>
      </c>
      <c r="C79" s="105">
        <f>SUMIFS(APN!$I$3:$I$97,APN!$A$3:$A$97,RIGHT(A79,4))</f>
        <v>0</v>
      </c>
      <c r="D79" s="184">
        <f>SUMIFS(APN!$J$3:$J$97,APN!$A$3:$A$97,RIGHT(A79,4))</f>
        <v>7</v>
      </c>
      <c r="E79" s="108">
        <f t="shared" ref="E79" si="62">SUM(C79/12*5)+(D79/12*7)</f>
        <v>4.0833333333333339</v>
      </c>
      <c r="F79" s="107">
        <f>SUMIFS(APN!$L$3:$L$97,APN!$A$3:$A$97,RIGHT(Data!A79,4)*1,APN!$H$3:$H$97,Data!J79)</f>
        <v>4.083333333333333</v>
      </c>
      <c r="G79" s="292">
        <f t="shared" ref="G79" si="63">E79-F79</f>
        <v>0</v>
      </c>
      <c r="H79" s="290">
        <v>0</v>
      </c>
      <c r="I79" s="217" t="s">
        <v>217</v>
      </c>
      <c r="J79" s="376" t="s">
        <v>141</v>
      </c>
      <c r="K79" s="139">
        <v>1</v>
      </c>
      <c r="L79" s="213">
        <f>IFERROR(VLOOKUP(RIGHT($A79,4)*1,'Autumn term 2025'!$AA$6:$AM$54,12,FALSE),0)</f>
        <v>0</v>
      </c>
      <c r="M79" s="454">
        <f>IFERROR(VLOOKUP(RIGHT($A79,4)*1,'Autumn term 2025'!$U$6:$X$16,3,FALSE),0)</f>
        <v>0</v>
      </c>
      <c r="N79" s="455">
        <f>IFERROR(VLOOKUP(RIGHT($A79,4)*1,'Autumn term 2025'!$U$6:$X$16,2,FALSE),0)</f>
        <v>0</v>
      </c>
      <c r="O79" s="38"/>
      <c r="P79" s="373"/>
      <c r="Q79" s="374"/>
      <c r="R79" s="301">
        <f t="shared" ref="R79" si="64">IFERROR(ROUND((M79/$L79)*$E79,2),0)</f>
        <v>0</v>
      </c>
      <c r="S79" s="302">
        <f t="shared" ref="S79" si="65">IFERROR(ROUND((N79/$L79)*$E79,2),0)</f>
        <v>0</v>
      </c>
      <c r="T79" s="300"/>
      <c r="U79" s="301"/>
      <c r="V79" s="301"/>
      <c r="W79" s="301"/>
      <c r="X79" s="302"/>
      <c r="Y79" s="375"/>
      <c r="Z79" s="301"/>
      <c r="AA79" s="301"/>
      <c r="AB79" s="301"/>
      <c r="AC79" s="301"/>
      <c r="AD79" s="301"/>
    </row>
    <row r="80" spans="1:30" hidden="1">
      <c r="A80" s="264">
        <v>8505412</v>
      </c>
      <c r="B80" s="264" t="s">
        <v>46</v>
      </c>
      <c r="C80" s="105">
        <f>SUMIFS(APN!$I$3:$I$97,APN!$A$3:$A$97,RIGHT(A80,4))</f>
        <v>17</v>
      </c>
      <c r="D80" s="184">
        <f>SUMIFS(APN!$J$3:$J$97,APN!$A$3:$A$97,RIGHT(A80,4))</f>
        <v>21</v>
      </c>
      <c r="E80" s="108">
        <f t="shared" ref="E80" si="66">SUM(C80/12*5)+(D80/12*7)</f>
        <v>19.333333333333336</v>
      </c>
      <c r="F80" s="107">
        <f>SUMIFS(APN!$L$3:$L$97,APN!$A$3:$A$97,RIGHT(Data!A80,4)*1,APN!$H$3:$H$97,Data!J80)</f>
        <v>12</v>
      </c>
      <c r="G80" s="292">
        <f t="shared" ref="G80" si="67">E80-F80</f>
        <v>7.3333333333333357</v>
      </c>
      <c r="H80" s="290">
        <v>0</v>
      </c>
      <c r="I80" s="217" t="s">
        <v>217</v>
      </c>
      <c r="J80" s="376" t="s">
        <v>218</v>
      </c>
      <c r="K80" s="139"/>
      <c r="L80" s="213">
        <f>IFERROR(VLOOKUP(RIGHT($A80,4)*1,'Autumn term 2025'!$AA$6:$AM$54,12,FALSE),0)</f>
        <v>12</v>
      </c>
      <c r="M80" s="454">
        <f>IFERROR(VLOOKUP(RIGHT($A80,4)*1,'Autumn term 2025'!$U$6:$X$16,3,FALSE),0)</f>
        <v>0</v>
      </c>
      <c r="N80" s="455">
        <f>IFERROR(VLOOKUP(RIGHT($A80,4)*1,'Autumn term 2025'!$U$6:$X$16,2,FALSE),0)</f>
        <v>0</v>
      </c>
      <c r="O80" s="38"/>
      <c r="P80" s="373"/>
      <c r="Q80" s="374" t="s">
        <v>141</v>
      </c>
      <c r="R80" s="301">
        <f t="shared" ref="R80" si="68">IFERROR(ROUND((M80/$L80)*$E80,2),0)</f>
        <v>0</v>
      </c>
      <c r="S80" s="302">
        <f t="shared" ref="S80" si="69">IFERROR(ROUND((N80/$L80)*$E80,2),0)</f>
        <v>0</v>
      </c>
      <c r="T80" s="300"/>
      <c r="U80" s="301">
        <f>G80</f>
        <v>7.3333333333333357</v>
      </c>
      <c r="V80" s="301"/>
      <c r="W80" s="301"/>
      <c r="X80" s="302"/>
      <c r="Y80" s="375"/>
      <c r="Z80" s="301"/>
      <c r="AA80" s="301"/>
      <c r="AB80" s="301"/>
      <c r="AC80" s="301"/>
      <c r="AD80" s="301"/>
    </row>
    <row r="81" spans="1:30" ht="15.75" hidden="1" thickBot="1">
      <c r="A81" s="138">
        <v>8505416</v>
      </c>
      <c r="B81" s="138" t="s">
        <v>181</v>
      </c>
      <c r="C81" s="105">
        <f>SUMIFS(APN!$I$3:$I$97,APN!$A$3:$A$97,RIGHT(A81,4))</f>
        <v>12</v>
      </c>
      <c r="D81" s="184">
        <f>SUMIFS(APN!$J$3:$J$97,APN!$A$3:$A$97,RIGHT(A81,4))</f>
        <v>15</v>
      </c>
      <c r="E81" s="377">
        <f t="shared" si="2"/>
        <v>13.75</v>
      </c>
      <c r="F81" s="107">
        <f>SUMIFS(APN!$L$3:$L$97,APN!$A$3:$A$97,RIGHT(Data!A81,4)*1,APN!$H$3:$H$97,Data!J81)</f>
        <v>13.75</v>
      </c>
      <c r="G81" s="378">
        <f t="shared" si="32"/>
        <v>0</v>
      </c>
      <c r="H81" s="379">
        <v>0</v>
      </c>
      <c r="I81" s="218" t="s">
        <v>217</v>
      </c>
      <c r="J81" s="219" t="s">
        <v>130</v>
      </c>
      <c r="K81" s="220">
        <v>1</v>
      </c>
      <c r="L81" s="221">
        <f>IFERROR(VLOOKUP(RIGHT($A81,4)*1,'Autumn term 2025'!$AA$6:$AM$54,12,FALSE),0)</f>
        <v>5</v>
      </c>
      <c r="M81" s="214">
        <f>IFERROR(VLOOKUP(RIGHT($A81,4)*1,'Autumn term 2025'!$U$6:$X$16,3,FALSE),0)</f>
        <v>0</v>
      </c>
      <c r="N81" s="215">
        <f>IFERROR(VLOOKUP(RIGHT($A81,4)*1,'Autumn term 2025'!$U$6:$X$16,2,FALSE),0)</f>
        <v>0</v>
      </c>
      <c r="O81" s="38"/>
      <c r="P81" s="373"/>
      <c r="Q81" s="374"/>
      <c r="R81" s="301">
        <f t="shared" si="0"/>
        <v>0</v>
      </c>
      <c r="S81" s="302">
        <f t="shared" si="1"/>
        <v>0</v>
      </c>
      <c r="T81" s="300"/>
      <c r="U81" s="301"/>
      <c r="V81" s="301"/>
      <c r="W81" s="301"/>
      <c r="X81" s="302"/>
      <c r="Y81" s="375"/>
      <c r="Z81" s="301"/>
      <c r="AA81" s="301"/>
      <c r="AB81" s="301"/>
      <c r="AC81" s="301"/>
      <c r="AD81" s="301"/>
    </row>
    <row r="82" spans="1:30" ht="15.75" hidden="1" thickBot="1">
      <c r="C82" s="116">
        <f>SUM(C4:C81)</f>
        <v>736</v>
      </c>
      <c r="D82" s="117">
        <f>SUM(D4:D81)</f>
        <v>830</v>
      </c>
      <c r="E82" s="109">
        <f t="shared" ref="E82" si="70">ROUND(SUM(C82/12*5)+(D82/12*7),2)</f>
        <v>790.83</v>
      </c>
      <c r="F82" s="110">
        <f>SUM(F4:F81)</f>
        <v>590.5</v>
      </c>
      <c r="G82" s="110">
        <f>SUM(G4:G81)</f>
        <v>183.33333333333337</v>
      </c>
      <c r="H82" s="291">
        <f>SUM(H4:H81)</f>
        <v>16.999999999999996</v>
      </c>
    </row>
    <row r="85" spans="1:30" ht="15.75">
      <c r="D85" s="401"/>
      <c r="E85" s="102"/>
      <c r="F85" s="102"/>
    </row>
    <row r="86" spans="1:30">
      <c r="D86" s="102" t="s">
        <v>110</v>
      </c>
      <c r="E86" s="102" t="s">
        <v>111</v>
      </c>
      <c r="F86" s="102" t="s">
        <v>222</v>
      </c>
    </row>
    <row r="87" spans="1:30">
      <c r="D87" s="102">
        <v>8502005</v>
      </c>
      <c r="E87" s="102" t="s">
        <v>0</v>
      </c>
      <c r="F87" s="556">
        <f>_xlfn.XLOOKUP(RIGHT(D87,4)*1,APN!A:A,APN!Q:Q)</f>
        <v>440.12468749999999</v>
      </c>
      <c r="G87" s="35">
        <f t="shared" ref="G87:G118" si="71">VLOOKUP(D87,$A$4:$A$81,1,)</f>
        <v>8502005</v>
      </c>
    </row>
    <row r="88" spans="1:30">
      <c r="D88" s="102">
        <v>8502011</v>
      </c>
      <c r="E88" s="102" t="s">
        <v>1</v>
      </c>
      <c r="F88" s="556">
        <f>_xlfn.XLOOKUP(RIGHT(D88,4)*1,APN!A:A,APN!Q:Q)</f>
        <v>621.39</v>
      </c>
      <c r="G88" s="35">
        <f t="shared" si="71"/>
        <v>8502011</v>
      </c>
    </row>
    <row r="89" spans="1:30">
      <c r="D89" s="102">
        <v>8502013</v>
      </c>
      <c r="E89" s="102" t="s">
        <v>2</v>
      </c>
      <c r="F89" s="556">
        <f>_xlfn.XLOOKUP(RIGHT(D89,4)*1,APN!A:A,APN!Q:Q)</f>
        <v>337.15999999999997</v>
      </c>
      <c r="G89" s="35">
        <f t="shared" si="71"/>
        <v>8502013</v>
      </c>
    </row>
    <row r="90" spans="1:30">
      <c r="D90" s="102">
        <v>8502018</v>
      </c>
      <c r="E90" s="102" t="s">
        <v>3</v>
      </c>
      <c r="F90" s="556">
        <f>_xlfn.XLOOKUP(RIGHT(D90,4)*1,APN!A:A,APN!Q:Q)</f>
        <v>353.88</v>
      </c>
      <c r="G90" s="35">
        <f t="shared" si="71"/>
        <v>8502018</v>
      </c>
    </row>
    <row r="91" spans="1:30">
      <c r="D91" s="102">
        <v>8502045</v>
      </c>
      <c r="E91" s="102" t="s">
        <v>144</v>
      </c>
      <c r="F91" s="556">
        <f>_xlfn.XLOOKUP(RIGHT(D91,4)*1,APN!A:A,APN!Q:Q)</f>
        <v>357.50967741935483</v>
      </c>
      <c r="G91" s="35">
        <f t="shared" si="71"/>
        <v>8502045</v>
      </c>
    </row>
    <row r="92" spans="1:30">
      <c r="D92" s="102">
        <v>8502049</v>
      </c>
      <c r="E92" s="557" t="s">
        <v>145</v>
      </c>
      <c r="F92" s="556">
        <f>_xlfn.XLOOKUP(RIGHT(D92,4)*1,APN!A:A,APN!Q:Q)</f>
        <v>0</v>
      </c>
      <c r="G92" s="35">
        <f t="shared" si="71"/>
        <v>8502049</v>
      </c>
    </row>
    <row r="93" spans="1:30">
      <c r="D93" s="102">
        <v>8502057</v>
      </c>
      <c r="E93" s="102" t="s">
        <v>5</v>
      </c>
      <c r="F93" s="556">
        <f>_xlfn.XLOOKUP(RIGHT(D93,4)*1,APN!A:A,APN!Q:Q)</f>
        <v>458.09</v>
      </c>
      <c r="G93" s="35">
        <f t="shared" si="71"/>
        <v>8502057</v>
      </c>
    </row>
    <row r="94" spans="1:30">
      <c r="D94" s="102">
        <v>8502062</v>
      </c>
      <c r="E94" s="102" t="s">
        <v>6</v>
      </c>
      <c r="F94" s="556">
        <f>_xlfn.XLOOKUP(RIGHT(D94,4)*1,APN!A:A,APN!Q:Q)</f>
        <v>357.51</v>
      </c>
      <c r="G94" s="35">
        <f t="shared" si="71"/>
        <v>8502062</v>
      </c>
    </row>
    <row r="95" spans="1:30">
      <c r="D95" s="102">
        <v>8502070</v>
      </c>
      <c r="E95" s="557" t="s">
        <v>148</v>
      </c>
      <c r="F95" s="556">
        <f>_xlfn.XLOOKUP(RIGHT(D95,4)*1,APN!A:A,APN!Q:Q)</f>
        <v>357.51</v>
      </c>
      <c r="G95" s="35">
        <f t="shared" si="71"/>
        <v>8502070</v>
      </c>
    </row>
    <row r="96" spans="1:30">
      <c r="D96" s="102">
        <v>8502071</v>
      </c>
      <c r="E96" s="557" t="s">
        <v>149</v>
      </c>
      <c r="F96" s="556">
        <f>_xlfn.XLOOKUP(RIGHT(D96,4)*1,APN!A:A,APN!Q:Q)</f>
        <v>537.88114285714289</v>
      </c>
      <c r="G96" s="35">
        <f t="shared" si="71"/>
        <v>8502071</v>
      </c>
    </row>
    <row r="97" spans="4:7">
      <c r="D97" s="102">
        <v>8502072</v>
      </c>
      <c r="E97" s="557" t="s">
        <v>150</v>
      </c>
      <c r="F97" s="556">
        <f>_xlfn.XLOOKUP(RIGHT(D97,4)*1,APN!A:A,APN!Q:Q)</f>
        <v>357.51</v>
      </c>
      <c r="G97" s="35">
        <f t="shared" si="71"/>
        <v>8502072</v>
      </c>
    </row>
    <row r="98" spans="4:7">
      <c r="D98" s="102">
        <v>8502073</v>
      </c>
      <c r="E98" s="557" t="s">
        <v>151</v>
      </c>
      <c r="F98" s="556">
        <f>_xlfn.XLOOKUP(RIGHT(D98,4)*1,APN!A:A,APN!Q:Q)</f>
        <v>357.51</v>
      </c>
      <c r="G98" s="35">
        <f t="shared" si="71"/>
        <v>8502073</v>
      </c>
    </row>
    <row r="99" spans="4:7">
      <c r="D99" s="102">
        <v>8502091</v>
      </c>
      <c r="E99" s="557" t="s">
        <v>152</v>
      </c>
      <c r="F99" s="556">
        <f>_xlfn.XLOOKUP(RIGHT(D99,4)*1,APN!A:A,APN!Q:Q)</f>
        <v>537.88</v>
      </c>
      <c r="G99" s="35">
        <f t="shared" si="71"/>
        <v>8502091</v>
      </c>
    </row>
    <row r="100" spans="4:7">
      <c r="D100" s="102">
        <v>8502103</v>
      </c>
      <c r="E100" s="102" t="s">
        <v>8</v>
      </c>
      <c r="F100" s="556">
        <f>_xlfn.XLOOKUP(RIGHT(D100,4)*1,APN!A:A,APN!Q:Q)</f>
        <v>357.51</v>
      </c>
      <c r="G100" s="35">
        <f t="shared" si="71"/>
        <v>8502103</v>
      </c>
    </row>
    <row r="101" spans="4:7">
      <c r="D101" s="102">
        <v>8502111</v>
      </c>
      <c r="E101" s="102" t="s">
        <v>9</v>
      </c>
      <c r="F101" s="556">
        <f>_xlfn.XLOOKUP(RIGHT(D101,4)*1,APN!A:A,APN!Q:Q)</f>
        <v>410.08</v>
      </c>
      <c r="G101" s="35">
        <f t="shared" si="71"/>
        <v>8502111</v>
      </c>
    </row>
    <row r="102" spans="4:7">
      <c r="D102" s="102">
        <v>8502127</v>
      </c>
      <c r="E102" s="102" t="s">
        <v>11</v>
      </c>
      <c r="F102" s="556">
        <f>_xlfn.XLOOKUP(RIGHT(D102,4)*1,APN!A:A,APN!Q:Q)</f>
        <v>236.85</v>
      </c>
      <c r="G102" s="35">
        <f t="shared" si="71"/>
        <v>8502127</v>
      </c>
    </row>
    <row r="103" spans="4:7">
      <c r="D103" s="102">
        <v>8502190</v>
      </c>
      <c r="E103" s="557" t="s">
        <v>153</v>
      </c>
      <c r="F103" s="556">
        <f>_xlfn.XLOOKUP(RIGHT(D103,4)*1,APN!A:A,APN!Q:Q)</f>
        <v>0</v>
      </c>
      <c r="G103" s="35">
        <f t="shared" si="71"/>
        <v>8502190</v>
      </c>
    </row>
    <row r="104" spans="4:7">
      <c r="D104" s="102">
        <v>8502206</v>
      </c>
      <c r="E104" s="557" t="s">
        <v>154</v>
      </c>
      <c r="F104" s="556">
        <f>_xlfn.XLOOKUP(RIGHT(D104,4)*1,APN!A:A,APN!Q:Q)</f>
        <v>357.51085714285716</v>
      </c>
      <c r="G104" s="35">
        <f t="shared" si="71"/>
        <v>8502206</v>
      </c>
    </row>
    <row r="105" spans="4:7">
      <c r="D105" s="102">
        <v>8502220</v>
      </c>
      <c r="E105" s="102" t="s">
        <v>12</v>
      </c>
      <c r="F105" s="556">
        <f>_xlfn.XLOOKUP(RIGHT(D105,4)*1,APN!A:A,APN!Q:Q)</f>
        <v>353.88000000000005</v>
      </c>
      <c r="G105" s="35">
        <f t="shared" si="71"/>
        <v>8502220</v>
      </c>
    </row>
    <row r="106" spans="4:7">
      <c r="D106" s="102">
        <v>8502228</v>
      </c>
      <c r="E106" s="102" t="s">
        <v>13</v>
      </c>
      <c r="F106" s="556">
        <f>_xlfn.XLOOKUP(RIGHT(D106,4)*1,APN!A:A,APN!Q:Q)</f>
        <v>338.38</v>
      </c>
      <c r="G106" s="35">
        <f t="shared" si="71"/>
        <v>8502228</v>
      </c>
    </row>
    <row r="107" spans="4:7">
      <c r="D107" s="102">
        <v>8502237</v>
      </c>
      <c r="E107" s="102" t="s">
        <v>14</v>
      </c>
      <c r="F107" s="556">
        <f>_xlfn.XLOOKUP(RIGHT(D107,4)*1,APN!A:A,APN!Q:Q)</f>
        <v>353.88</v>
      </c>
      <c r="G107" s="35">
        <f t="shared" si="71"/>
        <v>8502237</v>
      </c>
    </row>
    <row r="108" spans="4:7">
      <c r="D108" s="102">
        <v>8502291</v>
      </c>
      <c r="E108" s="102" t="s">
        <v>159</v>
      </c>
      <c r="F108" s="556">
        <f>_xlfn.XLOOKUP(RIGHT(D108,4)*1,APN!A:A,APN!Q:Q)</f>
        <v>236.85</v>
      </c>
      <c r="G108" s="35">
        <f t="shared" si="71"/>
        <v>8502291</v>
      </c>
    </row>
    <row r="109" spans="4:7">
      <c r="D109" s="102">
        <v>8502266</v>
      </c>
      <c r="E109" s="557" t="s">
        <v>155</v>
      </c>
      <c r="F109" s="556">
        <f>_xlfn.XLOOKUP(RIGHT(D109,4)*1,APN!A:A,APN!Q:Q)</f>
        <v>537.88</v>
      </c>
      <c r="G109" s="35">
        <f t="shared" si="71"/>
        <v>8502266</v>
      </c>
    </row>
    <row r="110" spans="4:7">
      <c r="D110" s="102">
        <v>8502272</v>
      </c>
      <c r="E110" s="557" t="s">
        <v>157</v>
      </c>
      <c r="F110" s="556">
        <f>_xlfn.XLOOKUP(RIGHT(D110,4)*1,APN!A:A,APN!Q:Q)</f>
        <v>0</v>
      </c>
      <c r="G110" s="35">
        <f t="shared" si="71"/>
        <v>8502272</v>
      </c>
    </row>
    <row r="111" spans="4:7">
      <c r="D111" s="102">
        <v>8502274</v>
      </c>
      <c r="E111" s="557" t="s">
        <v>158</v>
      </c>
      <c r="F111" s="556">
        <f>_xlfn.XLOOKUP(RIGHT(D111,4)*1,APN!A:A,APN!Q:Q)</f>
        <v>0</v>
      </c>
      <c r="G111" s="35">
        <f t="shared" si="71"/>
        <v>8502274</v>
      </c>
    </row>
    <row r="112" spans="4:7">
      <c r="D112" s="102">
        <v>8502310</v>
      </c>
      <c r="E112" s="557" t="s">
        <v>160</v>
      </c>
      <c r="F112" s="556">
        <f>_xlfn.XLOOKUP(RIGHT(D112,4)*1,APN!A:A,APN!Q:Q)</f>
        <v>0</v>
      </c>
      <c r="G112" s="35">
        <f t="shared" si="71"/>
        <v>8502310</v>
      </c>
    </row>
    <row r="113" spans="4:7">
      <c r="D113" s="102">
        <v>8502321</v>
      </c>
      <c r="E113" s="557" t="s">
        <v>161</v>
      </c>
      <c r="F113" s="556">
        <f>_xlfn.XLOOKUP(RIGHT(D113,4)*1,APN!A:A,APN!Q:Q)</f>
        <v>0</v>
      </c>
      <c r="G113" s="35">
        <f t="shared" si="71"/>
        <v>8502321</v>
      </c>
    </row>
    <row r="114" spans="4:7">
      <c r="D114" s="102">
        <v>8502339</v>
      </c>
      <c r="E114" s="102" t="s">
        <v>162</v>
      </c>
      <c r="F114" s="556">
        <f>_xlfn.XLOOKUP(RIGHT(D114,4)*1,APN!A:A,APN!Q:Q)</f>
        <v>537.88</v>
      </c>
      <c r="G114" s="35">
        <f t="shared" si="71"/>
        <v>8502339</v>
      </c>
    </row>
    <row r="115" spans="4:7">
      <c r="D115" s="102">
        <v>8502347</v>
      </c>
      <c r="E115" s="102" t="s">
        <v>15</v>
      </c>
      <c r="F115" s="556">
        <f>_xlfn.XLOOKUP(RIGHT(D115,4)*1,APN!A:A,APN!Q:Q)</f>
        <v>760.38</v>
      </c>
      <c r="G115" s="35">
        <f t="shared" si="71"/>
        <v>8502347</v>
      </c>
    </row>
    <row r="116" spans="4:7">
      <c r="D116" s="102">
        <v>8502377</v>
      </c>
      <c r="E116" s="102" t="s">
        <v>16</v>
      </c>
      <c r="F116" s="556">
        <f>_xlfn.XLOOKUP(RIGHT(D116,4)*1,APN!A:A,APN!Q:Q)</f>
        <v>236.85</v>
      </c>
      <c r="G116" s="35">
        <f t="shared" si="71"/>
        <v>8502377</v>
      </c>
    </row>
    <row r="117" spans="4:7">
      <c r="D117" s="102">
        <v>8502520</v>
      </c>
      <c r="E117" s="102" t="s">
        <v>17</v>
      </c>
      <c r="F117" s="556">
        <f>_xlfn.XLOOKUP(RIGHT(D117,4)*1,APN!A:A,APN!Q:Q)</f>
        <v>729.17000000000007</v>
      </c>
      <c r="G117" s="35">
        <f t="shared" si="71"/>
        <v>8502520</v>
      </c>
    </row>
    <row r="118" spans="4:7">
      <c r="D118" s="102">
        <v>8502531</v>
      </c>
      <c r="E118" s="102" t="s">
        <v>18</v>
      </c>
      <c r="F118" s="556">
        <f>_xlfn.XLOOKUP(RIGHT(D118,4)*1,APN!A:A,APN!Q:Q)</f>
        <v>236.85</v>
      </c>
      <c r="G118" s="35">
        <f t="shared" si="71"/>
        <v>8502531</v>
      </c>
    </row>
    <row r="119" spans="4:7">
      <c r="D119" s="102">
        <v>8502533</v>
      </c>
      <c r="E119" s="102" t="s">
        <v>19</v>
      </c>
      <c r="F119" s="556">
        <f>_xlfn.XLOOKUP(RIGHT(D119,4)*1,APN!A:A,APN!Q:Q)</f>
        <v>353.87999999999994</v>
      </c>
      <c r="G119" s="35">
        <f t="shared" ref="G119:G150" si="72">VLOOKUP(D119,$A$4:$A$81,1,)</f>
        <v>8502533</v>
      </c>
    </row>
    <row r="120" spans="4:7">
      <c r="D120" s="102">
        <v>8502534</v>
      </c>
      <c r="E120" s="102" t="s">
        <v>20</v>
      </c>
      <c r="F120" s="556">
        <f>_xlfn.XLOOKUP(RIGHT(D120,4)*1,APN!A:A,APN!Q:Q)</f>
        <v>375.91</v>
      </c>
      <c r="G120" s="35">
        <f t="shared" si="72"/>
        <v>8502534</v>
      </c>
    </row>
    <row r="121" spans="4:7">
      <c r="D121" s="102">
        <v>8502732</v>
      </c>
      <c r="E121" s="102" t="s">
        <v>21</v>
      </c>
      <c r="F121" s="556">
        <f>_xlfn.XLOOKUP(RIGHT(D121,4)*1,APN!A:A,APN!Q:Q)</f>
        <v>729.17000000000007</v>
      </c>
      <c r="G121" s="35">
        <f t="shared" si="72"/>
        <v>8502732</v>
      </c>
    </row>
    <row r="122" spans="4:7">
      <c r="D122" s="102">
        <v>8502270</v>
      </c>
      <c r="E122" s="102" t="s">
        <v>156</v>
      </c>
      <c r="F122" s="556">
        <f>_xlfn.XLOOKUP(RIGHT(D122,4)*1,APN!A:A,APN!Q:Q)</f>
        <v>537.88054054054055</v>
      </c>
      <c r="G122" s="35">
        <f t="shared" si="72"/>
        <v>8502270</v>
      </c>
    </row>
    <row r="123" spans="4:7">
      <c r="D123" s="102">
        <v>8502774</v>
      </c>
      <c r="E123" s="102" t="s">
        <v>22</v>
      </c>
      <c r="F123" s="556">
        <f>_xlfn.XLOOKUP(RIGHT(D123,4)*1,APN!A:A,APN!Q:Q)</f>
        <v>450.98666666666668</v>
      </c>
      <c r="G123" s="35">
        <f t="shared" si="72"/>
        <v>8502774</v>
      </c>
    </row>
    <row r="124" spans="4:7">
      <c r="D124" s="102">
        <v>8502776</v>
      </c>
      <c r="E124" s="102" t="s">
        <v>23</v>
      </c>
      <c r="F124" s="556">
        <f>_xlfn.XLOOKUP(RIGHT(D124,4)*1,APN!A:A,APN!Q:Q)</f>
        <v>357.51011952191237</v>
      </c>
      <c r="G124" s="35">
        <f t="shared" si="72"/>
        <v>8502776</v>
      </c>
    </row>
    <row r="125" spans="4:7">
      <c r="D125" s="102">
        <v>8502777</v>
      </c>
      <c r="E125" s="102" t="s">
        <v>24</v>
      </c>
      <c r="F125" s="556">
        <f>_xlfn.XLOOKUP(RIGHT(D125,4)*1,APN!A:A,APN!Q:Q)</f>
        <v>531.4908333333334</v>
      </c>
      <c r="G125" s="35">
        <f t="shared" si="72"/>
        <v>8502777</v>
      </c>
    </row>
    <row r="126" spans="4:7">
      <c r="D126" s="102">
        <v>8503101</v>
      </c>
      <c r="E126" s="102" t="s">
        <v>25</v>
      </c>
      <c r="F126" s="556">
        <f>_xlfn.XLOOKUP(RIGHT(D126,4)*1,APN!A:A,APN!Q:Q)</f>
        <v>671.94999999999993</v>
      </c>
      <c r="G126" s="35">
        <f t="shared" si="72"/>
        <v>8503101</v>
      </c>
    </row>
    <row r="127" spans="4:7">
      <c r="D127" s="102">
        <v>8503124</v>
      </c>
      <c r="E127" s="102" t="s">
        <v>223</v>
      </c>
      <c r="F127" s="556">
        <f>_xlfn.XLOOKUP(RIGHT(D127,4)*1,APN!A:A,APN!Q:Q)</f>
        <v>357.51</v>
      </c>
      <c r="G127" s="35">
        <f t="shared" si="72"/>
        <v>8503124</v>
      </c>
    </row>
    <row r="128" spans="4:7">
      <c r="D128" s="102">
        <v>8503192</v>
      </c>
      <c r="E128" s="102" t="s">
        <v>164</v>
      </c>
      <c r="F128" s="556">
        <f>_xlfn.XLOOKUP(RIGHT(D128,4)*1,APN!A:A,APN!Q:Q)</f>
        <v>537.88</v>
      </c>
      <c r="G128" s="35">
        <f t="shared" si="72"/>
        <v>8503192</v>
      </c>
    </row>
    <row r="129" spans="4:7">
      <c r="D129" s="102">
        <v>8503197</v>
      </c>
      <c r="E129" s="102" t="s">
        <v>216</v>
      </c>
      <c r="F129" s="556">
        <f>_xlfn.XLOOKUP(RIGHT(D129,4)*1,APN!A:A,APN!Q:Q)</f>
        <v>357.50967741935483</v>
      </c>
      <c r="G129" s="35">
        <f t="shared" si="72"/>
        <v>8503197</v>
      </c>
    </row>
    <row r="130" spans="4:7">
      <c r="D130" s="102">
        <v>8503404</v>
      </c>
      <c r="E130" s="102" t="s">
        <v>166</v>
      </c>
      <c r="F130" s="556">
        <f>_xlfn.XLOOKUP(RIGHT(D130,4)*1,APN!A:A,APN!Q:Q)</f>
        <v>729.17000000000007</v>
      </c>
      <c r="G130" s="35">
        <f t="shared" si="72"/>
        <v>8503404</v>
      </c>
    </row>
    <row r="131" spans="4:7">
      <c r="D131" s="102">
        <v>8503665</v>
      </c>
      <c r="E131" s="102" t="s">
        <v>26</v>
      </c>
      <c r="F131" s="556">
        <f>_xlfn.XLOOKUP(RIGHT(D131,4)*1,APN!A:A,APN!Q:Q)</f>
        <v>357.51000000000005</v>
      </c>
      <c r="G131" s="35">
        <f t="shared" si="72"/>
        <v>8503665</v>
      </c>
    </row>
    <row r="132" spans="4:7">
      <c r="D132" s="102">
        <v>8503667</v>
      </c>
      <c r="E132" s="557" t="s">
        <v>167</v>
      </c>
      <c r="F132" s="556">
        <f>_xlfn.XLOOKUP(RIGHT(D132,4)*1,APN!A:A,APN!Q:Q)</f>
        <v>0</v>
      </c>
      <c r="G132" s="35">
        <f t="shared" si="72"/>
        <v>8503667</v>
      </c>
    </row>
    <row r="133" spans="4:7">
      <c r="D133" s="102">
        <v>8504000</v>
      </c>
      <c r="E133" s="102" t="s">
        <v>27</v>
      </c>
      <c r="F133" s="556">
        <f>_xlfn.XLOOKUP(RIGHT(D133,4)*1,APN!A:A,APN!Q:Q)</f>
        <v>229.81</v>
      </c>
      <c r="G133" s="35">
        <f t="shared" si="72"/>
        <v>8504000</v>
      </c>
    </row>
    <row r="134" spans="4:7">
      <c r="D134" s="102">
        <v>8504004</v>
      </c>
      <c r="E134" s="557" t="s">
        <v>168</v>
      </c>
      <c r="F134" s="556">
        <f>_xlfn.XLOOKUP(RIGHT(D134,4)*1,APN!A:A,APN!Q:Q)</f>
        <v>0</v>
      </c>
      <c r="G134" s="35">
        <f t="shared" si="72"/>
        <v>8504004</v>
      </c>
    </row>
    <row r="135" spans="4:7">
      <c r="D135" s="102">
        <v>8504005</v>
      </c>
      <c r="E135" s="557" t="s">
        <v>169</v>
      </c>
      <c r="F135" s="556">
        <f>_xlfn.XLOOKUP(RIGHT(D135,4)*1,APN!A:A,APN!Q:Q)</f>
        <v>341.46122448979594</v>
      </c>
      <c r="G135" s="35">
        <f t="shared" si="72"/>
        <v>8504005</v>
      </c>
    </row>
    <row r="136" spans="4:7">
      <c r="D136" s="102">
        <v>8504007</v>
      </c>
      <c r="E136" s="102" t="s">
        <v>170</v>
      </c>
      <c r="F136" s="556">
        <f>_xlfn.XLOOKUP(RIGHT(D136,4)*1,APN!A:A,APN!Q:Q)</f>
        <v>284.75</v>
      </c>
      <c r="G136" s="35">
        <f t="shared" si="72"/>
        <v>8504007</v>
      </c>
    </row>
    <row r="137" spans="4:7">
      <c r="D137" s="102">
        <v>8504008</v>
      </c>
      <c r="E137" s="557" t="s">
        <v>171</v>
      </c>
      <c r="F137" s="556">
        <f>_xlfn.XLOOKUP(RIGHT(D137,4)*1,APN!A:A,APN!Q:Q)</f>
        <v>0</v>
      </c>
      <c r="G137" s="35">
        <f t="shared" si="72"/>
        <v>8504008</v>
      </c>
    </row>
    <row r="138" spans="4:7">
      <c r="D138" s="102">
        <v>8504019</v>
      </c>
      <c r="E138" s="557" t="s">
        <v>172</v>
      </c>
      <c r="F138" s="556">
        <f>_xlfn.XLOOKUP(RIGHT(D138,4)*1,APN!A:A,APN!Q:Q)</f>
        <v>0</v>
      </c>
      <c r="G138" s="35">
        <f t="shared" si="72"/>
        <v>8504019</v>
      </c>
    </row>
    <row r="139" spans="4:7">
      <c r="D139" s="102">
        <v>8504110</v>
      </c>
      <c r="E139" s="102" t="s">
        <v>29</v>
      </c>
      <c r="F139" s="556">
        <f>_xlfn.XLOOKUP(RIGHT(D139,4)*1,APN!A:A,APN!Q:Q)</f>
        <v>370.28000000000003</v>
      </c>
      <c r="G139" s="35">
        <f t="shared" si="72"/>
        <v>8504110</v>
      </c>
    </row>
    <row r="140" spans="4:7">
      <c r="D140" s="102">
        <v>8504113</v>
      </c>
      <c r="E140" s="102" t="s">
        <v>30</v>
      </c>
      <c r="F140" s="556">
        <f>_xlfn.XLOOKUP(RIGHT(D140,4)*1,APN!A:A,APN!Q:Q)</f>
        <v>641.04</v>
      </c>
      <c r="G140" s="35">
        <f t="shared" si="72"/>
        <v>8504113</v>
      </c>
    </row>
    <row r="141" spans="4:7">
      <c r="D141" s="102">
        <v>8504119</v>
      </c>
      <c r="E141" s="557" t="s">
        <v>173</v>
      </c>
      <c r="F141" s="556">
        <f>_xlfn.XLOOKUP(RIGHT(D141,4)*1,APN!A:A,APN!Q:Q)</f>
        <v>510.74938775510208</v>
      </c>
      <c r="G141" s="35">
        <f t="shared" si="72"/>
        <v>8504119</v>
      </c>
    </row>
    <row r="142" spans="4:7">
      <c r="D142" s="102">
        <v>8504128</v>
      </c>
      <c r="E142" s="102" t="s">
        <v>31</v>
      </c>
      <c r="F142" s="556">
        <f>_xlfn.XLOOKUP(RIGHT(D142,4)*1,APN!A:A,APN!Q:Q)</f>
        <v>482.20000000000005</v>
      </c>
      <c r="G142" s="35">
        <f t="shared" si="72"/>
        <v>8504128</v>
      </c>
    </row>
    <row r="143" spans="4:7">
      <c r="D143" s="102">
        <v>8504130</v>
      </c>
      <c r="E143" s="102" t="s">
        <v>174</v>
      </c>
      <c r="F143" s="556">
        <f>_xlfn.XLOOKUP(RIGHT(D143,4)*1,APN!A:A,APN!Q:Q)</f>
        <v>341.46038709677413</v>
      </c>
      <c r="G143" s="35">
        <f t="shared" si="72"/>
        <v>8504130</v>
      </c>
    </row>
    <row r="144" spans="4:7">
      <c r="D144" s="102">
        <v>8504133</v>
      </c>
      <c r="E144" s="102" t="s">
        <v>32</v>
      </c>
      <c r="F144" s="556">
        <f>_xlfn.XLOOKUP(RIGHT(D144,4)*1,APN!A:A,APN!Q:Q)</f>
        <v>559.75</v>
      </c>
      <c r="G144" s="35">
        <f t="shared" si="72"/>
        <v>8504133</v>
      </c>
    </row>
    <row r="145" spans="4:7">
      <c r="D145" s="102">
        <v>8504143</v>
      </c>
      <c r="E145" s="102" t="s">
        <v>33</v>
      </c>
      <c r="F145" s="556">
        <f>_xlfn.XLOOKUP(RIGHT(D145,4)*1,APN!A:A,APN!Q:Q)</f>
        <v>510.75</v>
      </c>
      <c r="G145" s="35">
        <f t="shared" si="72"/>
        <v>8504143</v>
      </c>
    </row>
    <row r="146" spans="4:7">
      <c r="D146" s="102">
        <v>8504159</v>
      </c>
      <c r="E146" s="102" t="s">
        <v>175</v>
      </c>
      <c r="F146" s="556">
        <f>_xlfn.XLOOKUP(RIGHT(D146,4)*1,APN!A:A,APN!Q:Q)</f>
        <v>510.75031578947375</v>
      </c>
      <c r="G146" s="35">
        <f t="shared" si="72"/>
        <v>8504159</v>
      </c>
    </row>
    <row r="147" spans="4:7">
      <c r="D147" s="102">
        <v>8504163</v>
      </c>
      <c r="E147" s="557" t="s">
        <v>176</v>
      </c>
      <c r="F147" s="556">
        <f>_xlfn.XLOOKUP(RIGHT(D147,4)*1,APN!A:A,APN!Q:Q)</f>
        <v>510.74938775510208</v>
      </c>
      <c r="G147" s="35">
        <f t="shared" si="72"/>
        <v>8504163</v>
      </c>
    </row>
    <row r="148" spans="4:7">
      <c r="D148" s="102">
        <v>8504173</v>
      </c>
      <c r="E148" s="102" t="s">
        <v>34</v>
      </c>
      <c r="F148" s="556">
        <f>_xlfn.XLOOKUP(RIGHT(D148,4)*1,APN!A:A,APN!Q:Q)</f>
        <v>510.75</v>
      </c>
      <c r="G148" s="35">
        <f t="shared" si="72"/>
        <v>8504173</v>
      </c>
    </row>
    <row r="149" spans="4:7">
      <c r="D149" s="102">
        <v>8504174</v>
      </c>
      <c r="E149" s="102" t="s">
        <v>35</v>
      </c>
      <c r="F149" s="556">
        <f>_xlfn.XLOOKUP(RIGHT(D149,4)*1,APN!A:A,APN!Q:Q)</f>
        <v>384.09999999999997</v>
      </c>
      <c r="G149" s="35">
        <f t="shared" si="72"/>
        <v>8504174</v>
      </c>
    </row>
    <row r="150" spans="4:7">
      <c r="D150" s="102">
        <v>8504180</v>
      </c>
      <c r="E150" s="102" t="s">
        <v>36</v>
      </c>
      <c r="F150" s="556">
        <f>_xlfn.XLOOKUP(RIGHT(D150,4)*1,APN!A:A,APN!Q:Q)</f>
        <v>350.48</v>
      </c>
      <c r="G150" s="35">
        <f t="shared" si="72"/>
        <v>8504180</v>
      </c>
    </row>
    <row r="151" spans="4:7">
      <c r="D151" s="102">
        <v>8504164</v>
      </c>
      <c r="E151" s="102" t="s">
        <v>37</v>
      </c>
      <c r="F151" s="556">
        <f>_xlfn.XLOOKUP(RIGHT(D151,4)*1,APN!A:A,APN!Q:Q)</f>
        <v>229.80999999999997</v>
      </c>
      <c r="G151" s="35">
        <f t="shared" ref="G151:G164" si="73">VLOOKUP(D151,$A$4:$A$81,1,)</f>
        <v>8504164</v>
      </c>
    </row>
    <row r="152" spans="4:7">
      <c r="D152" s="102">
        <v>8504191</v>
      </c>
      <c r="E152" s="102" t="s">
        <v>177</v>
      </c>
      <c r="F152" s="556">
        <f>_xlfn.XLOOKUP(RIGHT(D152,4)*1,APN!A:A,APN!Q:Q)</f>
        <v>293.61</v>
      </c>
      <c r="G152" s="35">
        <f t="shared" si="73"/>
        <v>8504191</v>
      </c>
    </row>
    <row r="153" spans="4:7">
      <c r="D153" s="102">
        <v>8504203</v>
      </c>
      <c r="E153" s="102" t="s">
        <v>39</v>
      </c>
      <c r="F153" s="556">
        <f>_xlfn.XLOOKUP(RIGHT(D153,4)*1,APN!A:A,APN!Q:Q)</f>
        <v>384.1</v>
      </c>
      <c r="G153" s="35">
        <f t="shared" si="73"/>
        <v>8504203</v>
      </c>
    </row>
    <row r="154" spans="4:7">
      <c r="D154" s="102">
        <v>8504206</v>
      </c>
      <c r="E154" s="102" t="s">
        <v>40</v>
      </c>
      <c r="F154" s="556">
        <f>_xlfn.XLOOKUP(RIGHT(D154,4)*1,APN!A:A,APN!Q:Q)</f>
        <v>265.3352727272727</v>
      </c>
      <c r="G154" s="35">
        <f t="shared" si="73"/>
        <v>8504206</v>
      </c>
    </row>
    <row r="155" spans="4:7">
      <c r="D155" s="102">
        <v>8504308</v>
      </c>
      <c r="E155" s="102" t="s">
        <v>41</v>
      </c>
      <c r="F155" s="556">
        <f>_xlfn.XLOOKUP(RIGHT(D155,4)*1,APN!A:A,APN!Q:Q)</f>
        <v>634.36</v>
      </c>
      <c r="G155" s="35">
        <f t="shared" si="73"/>
        <v>8504308</v>
      </c>
    </row>
    <row r="156" spans="4:7">
      <c r="D156" s="102">
        <v>8504310</v>
      </c>
      <c r="E156" s="102" t="s">
        <v>42</v>
      </c>
      <c r="F156" s="556">
        <f>_xlfn.XLOOKUP(RIGHT(D156,4)*1,APN!A:A,APN!Q:Q)</f>
        <v>559.75</v>
      </c>
      <c r="G156" s="35">
        <f t="shared" si="73"/>
        <v>8504310</v>
      </c>
    </row>
    <row r="157" spans="4:7">
      <c r="D157" s="102">
        <v>8504511</v>
      </c>
      <c r="E157" s="102" t="s">
        <v>43</v>
      </c>
      <c r="F157" s="556">
        <f>_xlfn.XLOOKUP(RIGHT(D157,4)*1,APN!A:A,APN!Q:Q)</f>
        <v>510.74981818181823</v>
      </c>
      <c r="G157" s="35">
        <f t="shared" si="73"/>
        <v>8504511</v>
      </c>
    </row>
    <row r="158" spans="4:7">
      <c r="D158" s="102">
        <v>8505205</v>
      </c>
      <c r="E158" s="102" t="s">
        <v>178</v>
      </c>
      <c r="F158" s="556">
        <f>_xlfn.XLOOKUP(RIGHT(D158,4)*1,APN!A:A,APN!Q:Q)</f>
        <v>357.51</v>
      </c>
      <c r="G158" s="35">
        <f t="shared" si="73"/>
        <v>8505205</v>
      </c>
    </row>
    <row r="159" spans="4:7">
      <c r="D159" s="102">
        <v>8505208</v>
      </c>
      <c r="E159" s="102" t="s">
        <v>44</v>
      </c>
      <c r="F159" s="556">
        <f>_xlfn.XLOOKUP(RIGHT(D159,4)*1,APN!A:A,APN!Q:Q)</f>
        <v>285.61</v>
      </c>
      <c r="G159" s="35">
        <f t="shared" si="73"/>
        <v>8505208</v>
      </c>
    </row>
    <row r="160" spans="4:7">
      <c r="D160" s="102">
        <v>8505405</v>
      </c>
      <c r="E160" s="102" t="s">
        <v>45</v>
      </c>
      <c r="F160" s="556">
        <f>_xlfn.XLOOKUP(RIGHT(D160,4)*1,APN!A:A,APN!Q:Q)</f>
        <v>510.75</v>
      </c>
      <c r="G160" s="35">
        <f t="shared" si="73"/>
        <v>8505405</v>
      </c>
    </row>
    <row r="161" spans="4:7">
      <c r="D161" s="102">
        <v>8505406</v>
      </c>
      <c r="E161" s="557" t="s">
        <v>179</v>
      </c>
      <c r="F161" s="556">
        <f>_xlfn.XLOOKUP(RIGHT(D161,4)*1,APN!A:A,APN!Q:Q)</f>
        <v>0</v>
      </c>
      <c r="G161" s="35">
        <f t="shared" si="73"/>
        <v>8505406</v>
      </c>
    </row>
    <row r="162" spans="4:7">
      <c r="D162" s="102">
        <v>8505408</v>
      </c>
      <c r="E162" s="557" t="s">
        <v>180</v>
      </c>
      <c r="F162" s="556">
        <f>_xlfn.XLOOKUP(RIGHT(D162,4)*1,APN!A:A,APN!Q:Q)</f>
        <v>510.74938775510208</v>
      </c>
      <c r="G162" s="35">
        <f t="shared" si="73"/>
        <v>8505408</v>
      </c>
    </row>
    <row r="163" spans="4:7">
      <c r="D163" s="102">
        <v>8505412</v>
      </c>
      <c r="E163" s="102" t="s">
        <v>46</v>
      </c>
      <c r="F163" s="556">
        <f>_xlfn.XLOOKUP(RIGHT(D163,4)*1,APN!A:A,APN!Q:Q)</f>
        <v>336.37344827586202</v>
      </c>
      <c r="G163" s="35">
        <f t="shared" si="73"/>
        <v>8505412</v>
      </c>
    </row>
    <row r="164" spans="4:7">
      <c r="D164" s="102">
        <v>8505416</v>
      </c>
      <c r="E164" s="102" t="s">
        <v>181</v>
      </c>
      <c r="F164" s="556">
        <f>_xlfn.XLOOKUP(RIGHT(D164,4)*1,APN!A:A,APN!Q:Q)</f>
        <v>341.46036363636364</v>
      </c>
      <c r="G164" s="35">
        <f t="shared" si="73"/>
        <v>8505416</v>
      </c>
    </row>
  </sheetData>
  <sheetProtection autoFilter="0"/>
  <autoFilter ref="A3:AD82" xr:uid="{00000000-0001-0000-0500-000000000000}">
    <filterColumn colId="1">
      <filters>
        <filter val="Fair Oak Infant School"/>
      </filters>
    </filterColumn>
  </autoFilter>
  <sortState xmlns:xlrd2="http://schemas.microsoft.com/office/spreadsheetml/2017/richdata2" ref="A3:P77">
    <sortCondition ref="A3:A77"/>
  </sortState>
  <mergeCells count="2">
    <mergeCell ref="L2:N2"/>
    <mergeCell ref="Q2:S2"/>
  </mergeCell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6" tint="0.59999389629810485"/>
  </sheetPr>
  <dimension ref="A1:R105"/>
  <sheetViews>
    <sheetView workbookViewId="0">
      <selection activeCell="E53" sqref="E53"/>
    </sheetView>
  </sheetViews>
  <sheetFormatPr defaultRowHeight="15"/>
  <cols>
    <col min="1" max="1" width="9.140625" customWidth="1"/>
    <col min="2" max="2" width="28.140625" customWidth="1"/>
    <col min="3" max="4" width="9.140625" customWidth="1"/>
    <col min="5" max="5" width="10.140625" customWidth="1"/>
    <col min="6" max="6" width="9" customWidth="1"/>
    <col min="7" max="7" width="9.140625" customWidth="1"/>
    <col min="8" max="8" width="11.5703125" customWidth="1"/>
    <col min="9" max="12" width="11.42578125" style="10" customWidth="1"/>
    <col min="17" max="17" width="9.140625" customWidth="1"/>
  </cols>
  <sheetData>
    <row r="1" spans="1:18">
      <c r="A1" s="60"/>
      <c r="B1" s="60"/>
      <c r="C1" s="60"/>
      <c r="D1" s="60"/>
      <c r="E1" s="60"/>
      <c r="F1" s="60"/>
      <c r="G1" s="60"/>
      <c r="H1" s="60"/>
      <c r="I1" s="644" t="s">
        <v>224</v>
      </c>
      <c r="J1" s="644"/>
      <c r="K1" s="644"/>
      <c r="L1" s="644"/>
    </row>
    <row r="2" spans="1:18" s="7" customFormat="1" ht="60">
      <c r="A2" s="200" t="s">
        <v>225</v>
      </c>
      <c r="B2" s="201" t="s">
        <v>226</v>
      </c>
      <c r="C2" s="201" t="s">
        <v>227</v>
      </c>
      <c r="D2" s="201" t="s">
        <v>69</v>
      </c>
      <c r="E2" s="486" t="s">
        <v>228</v>
      </c>
      <c r="F2" s="201" t="s">
        <v>69</v>
      </c>
      <c r="G2" s="201" t="s">
        <v>229</v>
      </c>
      <c r="H2" s="486" t="s">
        <v>74</v>
      </c>
      <c r="I2" s="202" t="s">
        <v>230</v>
      </c>
      <c r="J2" s="203" t="s">
        <v>231</v>
      </c>
      <c r="K2" s="206" t="s">
        <v>232</v>
      </c>
      <c r="L2" s="206" t="s">
        <v>233</v>
      </c>
      <c r="N2" s="553" t="s">
        <v>222</v>
      </c>
      <c r="O2" s="553" t="s">
        <v>234</v>
      </c>
      <c r="P2" s="553" t="s">
        <v>128</v>
      </c>
      <c r="Q2" s="559" t="s">
        <v>235</v>
      </c>
    </row>
    <row r="3" spans="1:18" ht="30">
      <c r="A3" s="516">
        <v>5412</v>
      </c>
      <c r="B3" s="279" t="s">
        <v>236</v>
      </c>
      <c r="C3" s="279" t="s">
        <v>186</v>
      </c>
      <c r="D3" s="279" t="s">
        <v>187</v>
      </c>
      <c r="E3" s="517" t="s">
        <v>237</v>
      </c>
      <c r="F3" s="518" t="s">
        <v>217</v>
      </c>
      <c r="G3" s="519" t="s">
        <v>238</v>
      </c>
      <c r="H3" s="517" t="s">
        <v>141</v>
      </c>
      <c r="I3" s="497">
        <v>5</v>
      </c>
      <c r="J3" s="501">
        <v>9</v>
      </c>
      <c r="K3" s="380">
        <v>2.9166666666666665</v>
      </c>
      <c r="L3" s="380">
        <v>7.3333333333333339</v>
      </c>
      <c r="N3" s="554">
        <v>229.81</v>
      </c>
      <c r="O3" s="555">
        <v>510.75</v>
      </c>
      <c r="P3" s="554">
        <f>ROUND(IF(O3&lt;&gt;"",O3*L3,N3*L3),2)</f>
        <v>3745.5</v>
      </c>
      <c r="Q3" s="10">
        <f>IF(A3=A2,"",IFERROR(SUMIF(A:A,A3,P:P)/SUMIF(A:A,A3,L:L),0))</f>
        <v>336.37344827586202</v>
      </c>
      <c r="R3" s="10">
        <f>IF(Q3="","",Q3-N3)</f>
        <v>106.56344827586202</v>
      </c>
    </row>
    <row r="4" spans="1:18">
      <c r="A4" s="516">
        <v>5412</v>
      </c>
      <c r="B4" s="279" t="s">
        <v>236</v>
      </c>
      <c r="C4" s="279" t="s">
        <v>186</v>
      </c>
      <c r="D4" s="279" t="s">
        <v>187</v>
      </c>
      <c r="E4" s="517" t="s">
        <v>239</v>
      </c>
      <c r="F4" s="518" t="s">
        <v>217</v>
      </c>
      <c r="G4" s="519" t="s">
        <v>238</v>
      </c>
      <c r="H4" s="517" t="s">
        <v>240</v>
      </c>
      <c r="I4" s="497">
        <v>12</v>
      </c>
      <c r="J4" s="501">
        <v>12</v>
      </c>
      <c r="K4" s="380">
        <v>15.333333333333334</v>
      </c>
      <c r="L4" s="380">
        <v>12</v>
      </c>
      <c r="N4" s="554">
        <v>229.81</v>
      </c>
      <c r="O4" s="554">
        <v>229.81</v>
      </c>
      <c r="P4" s="554">
        <f t="shared" ref="P4:P67" si="0">ROUND(IF(O4&lt;&gt;"",O4*L4,N4*L4),2)</f>
        <v>2757.72</v>
      </c>
      <c r="Q4" s="10" t="str">
        <f t="shared" ref="Q4:Q67" si="1">IF(A4=A3,"",IFERROR(SUMIF(A:A,A4,P:P)/SUMIF(A:A,A4,L:L),0))</f>
        <v/>
      </c>
      <c r="R4" s="10" t="str">
        <f t="shared" ref="R4:R67" si="2">IF(Q4="","",Q4-N4)</f>
        <v/>
      </c>
    </row>
    <row r="5" spans="1:18">
      <c r="A5" s="516">
        <v>2005</v>
      </c>
      <c r="B5" s="448" t="s">
        <v>241</v>
      </c>
      <c r="C5" s="279" t="s">
        <v>186</v>
      </c>
      <c r="D5" s="279" t="s">
        <v>185</v>
      </c>
      <c r="E5" s="517" t="s">
        <v>239</v>
      </c>
      <c r="F5" s="518" t="s">
        <v>242</v>
      </c>
      <c r="G5" s="519" t="s">
        <v>243</v>
      </c>
      <c r="H5" s="517" t="s">
        <v>141</v>
      </c>
      <c r="I5" s="589">
        <v>15</v>
      </c>
      <c r="J5" s="501">
        <v>15</v>
      </c>
      <c r="K5" s="380">
        <v>8.75</v>
      </c>
      <c r="L5" s="380">
        <v>15</v>
      </c>
      <c r="N5" s="554">
        <v>277.92</v>
      </c>
      <c r="O5" s="555">
        <v>537.88</v>
      </c>
      <c r="P5" s="554">
        <f t="shared" si="0"/>
        <v>8068.2</v>
      </c>
      <c r="Q5" s="10">
        <f t="shared" si="1"/>
        <v>440.12468749999999</v>
      </c>
      <c r="R5" s="10">
        <f t="shared" si="2"/>
        <v>162.20468749999998</v>
      </c>
    </row>
    <row r="6" spans="1:18">
      <c r="A6" s="516">
        <v>2005</v>
      </c>
      <c r="B6" s="448" t="s">
        <v>241</v>
      </c>
      <c r="C6" s="279" t="s">
        <v>186</v>
      </c>
      <c r="D6" s="279" t="s">
        <v>185</v>
      </c>
      <c r="E6" s="517" t="s">
        <v>239</v>
      </c>
      <c r="F6" s="518" t="s">
        <v>242</v>
      </c>
      <c r="G6" s="519" t="s">
        <v>243</v>
      </c>
      <c r="H6" s="517" t="s">
        <v>142</v>
      </c>
      <c r="I6" s="589">
        <v>17</v>
      </c>
      <c r="J6" s="501">
        <v>17</v>
      </c>
      <c r="K6" s="380">
        <v>9.9166666666666661</v>
      </c>
      <c r="L6" s="380">
        <v>17</v>
      </c>
      <c r="N6" s="554">
        <v>277.92</v>
      </c>
      <c r="O6" s="555">
        <v>353.87</v>
      </c>
      <c r="P6" s="554">
        <f t="shared" si="0"/>
        <v>6015.79</v>
      </c>
      <c r="Q6" s="10" t="str">
        <f t="shared" si="1"/>
        <v/>
      </c>
      <c r="R6" s="10" t="str">
        <f t="shared" si="2"/>
        <v/>
      </c>
    </row>
    <row r="7" spans="1:18">
      <c r="A7" s="516">
        <v>2005</v>
      </c>
      <c r="B7" s="279" t="s">
        <v>241</v>
      </c>
      <c r="C7" s="279" t="s">
        <v>186</v>
      </c>
      <c r="D7" s="279" t="s">
        <v>185</v>
      </c>
      <c r="E7" s="517" t="s">
        <v>239</v>
      </c>
      <c r="F7" s="518" t="s">
        <v>242</v>
      </c>
      <c r="G7" s="519" t="s">
        <v>243</v>
      </c>
      <c r="H7" s="517" t="s">
        <v>213</v>
      </c>
      <c r="I7" s="589">
        <v>0</v>
      </c>
      <c r="J7" s="501">
        <v>0</v>
      </c>
      <c r="K7" s="380">
        <v>10</v>
      </c>
      <c r="L7" s="380">
        <v>0</v>
      </c>
      <c r="N7" s="554">
        <v>277.92</v>
      </c>
      <c r="O7" s="555">
        <v>277.92</v>
      </c>
      <c r="P7" s="554">
        <f t="shared" si="0"/>
        <v>0</v>
      </c>
      <c r="Q7" s="10" t="str">
        <f t="shared" si="1"/>
        <v/>
      </c>
      <c r="R7" s="10" t="str">
        <f t="shared" si="2"/>
        <v/>
      </c>
    </row>
    <row r="8" spans="1:18">
      <c r="A8" s="516">
        <v>5208</v>
      </c>
      <c r="B8" s="279" t="s">
        <v>244</v>
      </c>
      <c r="C8" s="279" t="s">
        <v>186</v>
      </c>
      <c r="D8" s="279" t="s">
        <v>185</v>
      </c>
      <c r="E8" s="517" t="s">
        <v>239</v>
      </c>
      <c r="F8" s="518" t="s">
        <v>245</v>
      </c>
      <c r="G8" s="519" t="s">
        <v>246</v>
      </c>
      <c r="H8" s="517" t="s">
        <v>143</v>
      </c>
      <c r="I8" s="497">
        <v>14</v>
      </c>
      <c r="J8" s="501">
        <v>14</v>
      </c>
      <c r="K8" s="380">
        <v>14</v>
      </c>
      <c r="L8" s="380">
        <v>14</v>
      </c>
      <c r="N8" s="554">
        <v>285.61</v>
      </c>
      <c r="O8" s="555"/>
      <c r="P8" s="554">
        <f t="shared" si="0"/>
        <v>3998.54</v>
      </c>
      <c r="Q8" s="10">
        <f t="shared" si="1"/>
        <v>285.61</v>
      </c>
      <c r="R8" s="10">
        <f t="shared" si="2"/>
        <v>0</v>
      </c>
    </row>
    <row r="9" spans="1:18">
      <c r="A9" s="516">
        <v>5208</v>
      </c>
      <c r="B9" s="448" t="s">
        <v>244</v>
      </c>
      <c r="C9" s="279" t="s">
        <v>186</v>
      </c>
      <c r="D9" s="279" t="s">
        <v>185</v>
      </c>
      <c r="E9" s="517" t="s">
        <v>239</v>
      </c>
      <c r="F9" s="518" t="s">
        <v>245</v>
      </c>
      <c r="G9" s="519" t="s">
        <v>246</v>
      </c>
      <c r="H9" s="517" t="s">
        <v>142</v>
      </c>
      <c r="I9" s="497">
        <v>0</v>
      </c>
      <c r="J9" s="501">
        <v>0</v>
      </c>
      <c r="K9" s="380">
        <v>0</v>
      </c>
      <c r="L9" s="380">
        <v>0</v>
      </c>
      <c r="N9" s="554">
        <v>285.61</v>
      </c>
      <c r="O9" s="555"/>
      <c r="P9" s="554">
        <f t="shared" si="0"/>
        <v>0</v>
      </c>
      <c r="Q9" s="10" t="str">
        <f t="shared" si="1"/>
        <v/>
      </c>
      <c r="R9" s="10" t="str">
        <f t="shared" si="2"/>
        <v/>
      </c>
    </row>
    <row r="10" spans="1:18" ht="30">
      <c r="A10" s="520">
        <v>3197</v>
      </c>
      <c r="B10" s="447" t="s">
        <v>247</v>
      </c>
      <c r="C10" s="447" t="s">
        <v>186</v>
      </c>
      <c r="D10" s="447" t="s">
        <v>185</v>
      </c>
      <c r="E10" s="521" t="s">
        <v>237</v>
      </c>
      <c r="F10" s="522" t="s">
        <v>212</v>
      </c>
      <c r="G10" s="523" t="s">
        <v>246</v>
      </c>
      <c r="H10" s="521" t="s">
        <v>130</v>
      </c>
      <c r="I10" s="497">
        <v>6</v>
      </c>
      <c r="J10" s="501">
        <v>9</v>
      </c>
      <c r="K10" s="380">
        <v>3.5</v>
      </c>
      <c r="L10" s="380">
        <v>7.75</v>
      </c>
      <c r="N10" s="554">
        <v>357.51</v>
      </c>
      <c r="O10" s="555"/>
      <c r="P10" s="554">
        <f t="shared" si="0"/>
        <v>2770.7</v>
      </c>
      <c r="Q10" s="10">
        <f t="shared" si="1"/>
        <v>357.50967741935483</v>
      </c>
      <c r="R10" s="10">
        <f t="shared" si="2"/>
        <v>-3.2258064516099694E-4</v>
      </c>
    </row>
    <row r="11" spans="1:18">
      <c r="A11" s="524">
        <v>2776</v>
      </c>
      <c r="B11" s="525" t="s">
        <v>248</v>
      </c>
      <c r="C11" s="525" t="s">
        <v>186</v>
      </c>
      <c r="D11" s="525" t="s">
        <v>185</v>
      </c>
      <c r="E11" s="526" t="s">
        <v>239</v>
      </c>
      <c r="F11" s="527" t="s">
        <v>212</v>
      </c>
      <c r="G11" s="528" t="s">
        <v>249</v>
      </c>
      <c r="H11" s="526" t="s">
        <v>130</v>
      </c>
      <c r="I11" s="497">
        <v>18</v>
      </c>
      <c r="J11" s="596">
        <v>23</v>
      </c>
      <c r="K11" s="380">
        <v>15.5</v>
      </c>
      <c r="L11" s="597">
        <v>20.916666666666664</v>
      </c>
      <c r="N11" s="554">
        <v>357.51</v>
      </c>
      <c r="O11" s="555"/>
      <c r="P11" s="554">
        <f t="shared" si="0"/>
        <v>7477.92</v>
      </c>
      <c r="Q11" s="10">
        <f t="shared" si="1"/>
        <v>357.51011952191237</v>
      </c>
      <c r="R11" s="10">
        <f t="shared" si="2"/>
        <v>1.1952191238151499E-4</v>
      </c>
    </row>
    <row r="12" spans="1:18">
      <c r="A12" s="488">
        <v>5205</v>
      </c>
      <c r="B12" s="205" t="s">
        <v>250</v>
      </c>
      <c r="C12" s="205" t="s">
        <v>188</v>
      </c>
      <c r="D12" s="205" t="s">
        <v>185</v>
      </c>
      <c r="E12" s="490" t="s">
        <v>251</v>
      </c>
      <c r="F12" s="489" t="s">
        <v>212</v>
      </c>
      <c r="G12" s="491" t="s">
        <v>249</v>
      </c>
      <c r="H12" s="490" t="s">
        <v>130</v>
      </c>
      <c r="I12" s="494">
        <v>0</v>
      </c>
      <c r="J12" s="502">
        <v>0</v>
      </c>
      <c r="K12" s="381">
        <v>0</v>
      </c>
      <c r="L12" s="381">
        <v>0</v>
      </c>
      <c r="N12" s="554">
        <v>357.51</v>
      </c>
      <c r="O12" s="555"/>
      <c r="P12" s="554">
        <f t="shared" si="0"/>
        <v>0</v>
      </c>
      <c r="Q12" s="10">
        <v>357.51</v>
      </c>
      <c r="R12" s="10">
        <f t="shared" si="2"/>
        <v>0</v>
      </c>
    </row>
    <row r="13" spans="1:18" ht="30">
      <c r="A13" s="488">
        <v>4004</v>
      </c>
      <c r="B13" s="448" t="s">
        <v>252</v>
      </c>
      <c r="C13" s="205" t="s">
        <v>188</v>
      </c>
      <c r="D13" s="205" t="s">
        <v>187</v>
      </c>
      <c r="E13" s="490" t="s">
        <v>253</v>
      </c>
      <c r="F13" s="489" t="s">
        <v>217</v>
      </c>
      <c r="G13" s="491" t="s">
        <v>238</v>
      </c>
      <c r="H13" s="490" t="s">
        <v>130</v>
      </c>
      <c r="I13" s="494">
        <v>0</v>
      </c>
      <c r="J13" s="502">
        <v>0</v>
      </c>
      <c r="K13" s="381">
        <v>0</v>
      </c>
      <c r="L13" s="381">
        <v>0</v>
      </c>
      <c r="N13" s="554" t="s">
        <v>254</v>
      </c>
      <c r="O13" s="555">
        <v>0</v>
      </c>
      <c r="P13" s="554">
        <f t="shared" si="0"/>
        <v>0</v>
      </c>
      <c r="Q13" s="10">
        <f t="shared" si="1"/>
        <v>0</v>
      </c>
      <c r="R13" s="10" t="e">
        <f t="shared" si="2"/>
        <v>#VALUE!</v>
      </c>
    </row>
    <row r="14" spans="1:18" ht="30">
      <c r="A14" s="520">
        <v>3667</v>
      </c>
      <c r="B14" s="448" t="s">
        <v>255</v>
      </c>
      <c r="C14" s="447" t="s">
        <v>186</v>
      </c>
      <c r="D14" s="447" t="s">
        <v>185</v>
      </c>
      <c r="E14" s="521" t="s">
        <v>253</v>
      </c>
      <c r="F14" s="522" t="s">
        <v>212</v>
      </c>
      <c r="G14" s="529" t="s">
        <v>249</v>
      </c>
      <c r="H14" s="521" t="s">
        <v>141</v>
      </c>
      <c r="I14" s="497">
        <v>0</v>
      </c>
      <c r="J14" s="501">
        <v>0</v>
      </c>
      <c r="K14" s="380">
        <v>0</v>
      </c>
      <c r="L14" s="380">
        <v>0</v>
      </c>
      <c r="N14" s="554" t="s">
        <v>254</v>
      </c>
      <c r="O14" s="555">
        <v>0</v>
      </c>
      <c r="P14" s="554">
        <f t="shared" si="0"/>
        <v>0</v>
      </c>
      <c r="Q14" s="10">
        <f t="shared" si="1"/>
        <v>0</v>
      </c>
      <c r="R14" s="10" t="e">
        <f t="shared" si="2"/>
        <v>#VALUE!</v>
      </c>
    </row>
    <row r="15" spans="1:18">
      <c r="A15" s="488">
        <v>5416</v>
      </c>
      <c r="B15" s="205" t="s">
        <v>256</v>
      </c>
      <c r="C15" s="205" t="s">
        <v>188</v>
      </c>
      <c r="D15" s="205" t="s">
        <v>187</v>
      </c>
      <c r="E15" s="490" t="s">
        <v>239</v>
      </c>
      <c r="F15" s="489" t="s">
        <v>217</v>
      </c>
      <c r="G15" s="491" t="s">
        <v>238</v>
      </c>
      <c r="H15" s="490" t="s">
        <v>130</v>
      </c>
      <c r="I15" s="494">
        <v>12</v>
      </c>
      <c r="J15" s="502">
        <v>15</v>
      </c>
      <c r="K15" s="381">
        <v>7</v>
      </c>
      <c r="L15" s="381">
        <v>13.75</v>
      </c>
      <c r="N15" s="554">
        <v>341.46</v>
      </c>
      <c r="O15" s="555"/>
      <c r="P15" s="554">
        <f t="shared" si="0"/>
        <v>4695.08</v>
      </c>
      <c r="Q15" s="10">
        <f t="shared" si="1"/>
        <v>341.46036363636364</v>
      </c>
      <c r="R15" s="10">
        <f t="shared" si="2"/>
        <v>3.6363636365877028E-4</v>
      </c>
    </row>
    <row r="16" spans="1:18" ht="30">
      <c r="A16" s="520">
        <v>2321</v>
      </c>
      <c r="B16" s="448" t="s">
        <v>257</v>
      </c>
      <c r="C16" s="447" t="s">
        <v>186</v>
      </c>
      <c r="D16" s="447" t="s">
        <v>185</v>
      </c>
      <c r="E16" s="521" t="s">
        <v>253</v>
      </c>
      <c r="F16" s="522" t="s">
        <v>212</v>
      </c>
      <c r="G16" s="529" t="s">
        <v>258</v>
      </c>
      <c r="H16" s="521" t="s">
        <v>141</v>
      </c>
      <c r="I16" s="497">
        <v>0</v>
      </c>
      <c r="J16" s="501">
        <v>0</v>
      </c>
      <c r="K16" s="380">
        <v>0</v>
      </c>
      <c r="L16" s="380">
        <v>0</v>
      </c>
      <c r="N16" s="554"/>
      <c r="O16" s="555"/>
      <c r="P16" s="554">
        <f t="shared" si="0"/>
        <v>0</v>
      </c>
      <c r="Q16" s="10">
        <f t="shared" si="1"/>
        <v>0</v>
      </c>
      <c r="R16" s="10">
        <f t="shared" si="2"/>
        <v>0</v>
      </c>
    </row>
    <row r="17" spans="1:18" ht="30">
      <c r="A17" s="520">
        <v>2272</v>
      </c>
      <c r="B17" s="448" t="s">
        <v>259</v>
      </c>
      <c r="C17" s="447" t="s">
        <v>186</v>
      </c>
      <c r="D17" s="447" t="s">
        <v>185</v>
      </c>
      <c r="E17" s="521" t="s">
        <v>253</v>
      </c>
      <c r="F17" s="522" t="s">
        <v>212</v>
      </c>
      <c r="G17" s="529" t="s">
        <v>249</v>
      </c>
      <c r="H17" s="521" t="s">
        <v>141</v>
      </c>
      <c r="I17" s="497">
        <v>0</v>
      </c>
      <c r="J17" s="501">
        <v>0</v>
      </c>
      <c r="K17" s="380">
        <v>0</v>
      </c>
      <c r="L17" s="380">
        <v>0</v>
      </c>
      <c r="N17" s="554"/>
      <c r="O17" s="555"/>
      <c r="P17" s="554">
        <f t="shared" si="0"/>
        <v>0</v>
      </c>
      <c r="Q17" s="10">
        <f t="shared" si="1"/>
        <v>0</v>
      </c>
      <c r="R17" s="10">
        <f t="shared" si="2"/>
        <v>0</v>
      </c>
    </row>
    <row r="18" spans="1:18">
      <c r="A18" s="520">
        <v>2062</v>
      </c>
      <c r="B18" s="447" t="s">
        <v>260</v>
      </c>
      <c r="C18" s="447" t="s">
        <v>186</v>
      </c>
      <c r="D18" s="447" t="s">
        <v>185</v>
      </c>
      <c r="E18" s="521" t="s">
        <v>239</v>
      </c>
      <c r="F18" s="522" t="s">
        <v>212</v>
      </c>
      <c r="G18" s="529" t="s">
        <v>249</v>
      </c>
      <c r="H18" s="521" t="s">
        <v>130</v>
      </c>
      <c r="I18" s="497">
        <v>11</v>
      </c>
      <c r="J18" s="501">
        <v>11</v>
      </c>
      <c r="K18" s="380">
        <v>9.3333333333333339</v>
      </c>
      <c r="L18" s="380">
        <v>11</v>
      </c>
      <c r="N18" s="554">
        <v>357.51</v>
      </c>
      <c r="O18" s="555"/>
      <c r="P18" s="554">
        <f t="shared" si="0"/>
        <v>3932.61</v>
      </c>
      <c r="Q18" s="10">
        <f t="shared" si="1"/>
        <v>357.51</v>
      </c>
      <c r="R18" s="10">
        <f t="shared" si="2"/>
        <v>0</v>
      </c>
    </row>
    <row r="19" spans="1:18">
      <c r="A19" s="520">
        <v>4203</v>
      </c>
      <c r="B19" s="447" t="s">
        <v>261</v>
      </c>
      <c r="C19" s="447" t="s">
        <v>186</v>
      </c>
      <c r="D19" s="447" t="s">
        <v>187</v>
      </c>
      <c r="E19" s="521" t="s">
        <v>239</v>
      </c>
      <c r="F19" s="522" t="s">
        <v>217</v>
      </c>
      <c r="G19" s="529" t="s">
        <v>238</v>
      </c>
      <c r="H19" s="521" t="s">
        <v>215</v>
      </c>
      <c r="I19" s="497">
        <v>5</v>
      </c>
      <c r="J19" s="501">
        <v>5</v>
      </c>
      <c r="K19" s="380">
        <v>5</v>
      </c>
      <c r="L19" s="380">
        <v>5</v>
      </c>
      <c r="N19" s="554">
        <v>384.09999999999997</v>
      </c>
      <c r="O19" s="555"/>
      <c r="P19" s="554">
        <f t="shared" si="0"/>
        <v>1920.5</v>
      </c>
      <c r="Q19" s="10">
        <f t="shared" si="1"/>
        <v>384.1</v>
      </c>
      <c r="R19" s="10">
        <f t="shared" si="2"/>
        <v>5.6843418860808015E-14</v>
      </c>
    </row>
    <row r="20" spans="1:18">
      <c r="A20" s="512">
        <v>4110</v>
      </c>
      <c r="B20" s="263" t="s">
        <v>262</v>
      </c>
      <c r="C20" s="263" t="s">
        <v>188</v>
      </c>
      <c r="D20" s="263" t="s">
        <v>187</v>
      </c>
      <c r="E20" s="513" t="s">
        <v>239</v>
      </c>
      <c r="F20" s="514" t="s">
        <v>217</v>
      </c>
      <c r="G20" s="515" t="s">
        <v>238</v>
      </c>
      <c r="H20" s="513" t="s">
        <v>141</v>
      </c>
      <c r="I20" s="497">
        <v>15</v>
      </c>
      <c r="J20" s="502">
        <v>18</v>
      </c>
      <c r="K20" s="381">
        <v>12.916666666666668</v>
      </c>
      <c r="L20" s="381">
        <v>16.75</v>
      </c>
      <c r="N20" s="554">
        <v>370.28</v>
      </c>
      <c r="O20" s="555"/>
      <c r="P20" s="554">
        <f t="shared" si="0"/>
        <v>6202.19</v>
      </c>
      <c r="Q20" s="10">
        <f t="shared" si="1"/>
        <v>370.28000000000003</v>
      </c>
      <c r="R20" s="10">
        <f t="shared" si="2"/>
        <v>5.6843418860808015E-14</v>
      </c>
    </row>
    <row r="21" spans="1:18">
      <c r="A21" s="512">
        <v>4110</v>
      </c>
      <c r="B21" s="263" t="s">
        <v>262</v>
      </c>
      <c r="C21" s="263" t="s">
        <v>188</v>
      </c>
      <c r="D21" s="263" t="s">
        <v>187</v>
      </c>
      <c r="E21" s="513" t="s">
        <v>239</v>
      </c>
      <c r="F21" s="514" t="s">
        <v>217</v>
      </c>
      <c r="G21" s="515" t="s">
        <v>238</v>
      </c>
      <c r="H21" s="513" t="s">
        <v>240</v>
      </c>
      <c r="I21" s="497">
        <v>5</v>
      </c>
      <c r="J21" s="502">
        <v>5</v>
      </c>
      <c r="K21" s="381">
        <v>7.0833333333333339</v>
      </c>
      <c r="L21" s="381">
        <v>5</v>
      </c>
      <c r="N21" s="554">
        <v>370.28</v>
      </c>
      <c r="O21" s="555"/>
      <c r="P21" s="554">
        <f t="shared" si="0"/>
        <v>1851.4</v>
      </c>
      <c r="Q21" s="10" t="str">
        <f t="shared" si="1"/>
        <v/>
      </c>
      <c r="R21" s="10" t="str">
        <f t="shared" si="2"/>
        <v/>
      </c>
    </row>
    <row r="22" spans="1:18">
      <c r="A22" s="520">
        <v>4164</v>
      </c>
      <c r="B22" s="447" t="s">
        <v>263</v>
      </c>
      <c r="C22" s="447" t="s">
        <v>186</v>
      </c>
      <c r="D22" s="447" t="s">
        <v>187</v>
      </c>
      <c r="E22" s="521" t="s">
        <v>239</v>
      </c>
      <c r="F22" s="522" t="s">
        <v>217</v>
      </c>
      <c r="G22" s="529" t="s">
        <v>238</v>
      </c>
      <c r="H22" s="521" t="s">
        <v>240</v>
      </c>
      <c r="I22" s="497">
        <v>12</v>
      </c>
      <c r="J22" s="501">
        <v>12</v>
      </c>
      <c r="K22" s="380">
        <v>12</v>
      </c>
      <c r="L22" s="380">
        <v>12</v>
      </c>
      <c r="N22" s="554">
        <v>229.81</v>
      </c>
      <c r="O22" s="555"/>
      <c r="P22" s="554">
        <f t="shared" si="0"/>
        <v>2757.72</v>
      </c>
      <c r="Q22" s="10">
        <f t="shared" si="1"/>
        <v>229.80999999999997</v>
      </c>
      <c r="R22" s="10">
        <f t="shared" si="2"/>
        <v>-2.8421709430404007E-14</v>
      </c>
    </row>
    <row r="23" spans="1:18">
      <c r="A23" s="516">
        <v>4191</v>
      </c>
      <c r="B23" s="279" t="s">
        <v>264</v>
      </c>
      <c r="C23" s="279" t="s">
        <v>186</v>
      </c>
      <c r="D23" s="279" t="s">
        <v>187</v>
      </c>
      <c r="E23" s="517" t="s">
        <v>239</v>
      </c>
      <c r="F23" s="518" t="s">
        <v>217</v>
      </c>
      <c r="G23" s="519" t="s">
        <v>238</v>
      </c>
      <c r="H23" s="517" t="s">
        <v>130</v>
      </c>
      <c r="I23" s="497">
        <v>14</v>
      </c>
      <c r="J23" s="501">
        <v>14</v>
      </c>
      <c r="K23" s="506">
        <v>14</v>
      </c>
      <c r="L23" s="506">
        <v>14</v>
      </c>
      <c r="N23" s="554">
        <v>293.61</v>
      </c>
      <c r="O23" s="555"/>
      <c r="P23" s="554">
        <f t="shared" si="0"/>
        <v>4110.54</v>
      </c>
      <c r="Q23" s="10">
        <f t="shared" si="1"/>
        <v>293.61</v>
      </c>
      <c r="R23" s="10">
        <f t="shared" si="2"/>
        <v>0</v>
      </c>
    </row>
    <row r="24" spans="1:18">
      <c r="A24" s="516">
        <v>4191</v>
      </c>
      <c r="B24" s="279" t="s">
        <v>264</v>
      </c>
      <c r="C24" s="279" t="s">
        <v>186</v>
      </c>
      <c r="D24" s="279" t="s">
        <v>187</v>
      </c>
      <c r="E24" s="517" t="s">
        <v>239</v>
      </c>
      <c r="F24" s="518" t="s">
        <v>217</v>
      </c>
      <c r="G24" s="519" t="s">
        <v>238</v>
      </c>
      <c r="H24" s="517" t="s">
        <v>240</v>
      </c>
      <c r="I24" s="497">
        <v>8</v>
      </c>
      <c r="J24" s="501">
        <v>8</v>
      </c>
      <c r="K24" s="506">
        <v>10.916666666666668</v>
      </c>
      <c r="L24" s="506">
        <v>8</v>
      </c>
      <c r="N24" s="554">
        <v>293.61</v>
      </c>
      <c r="O24" s="555"/>
      <c r="P24" s="554">
        <f t="shared" si="0"/>
        <v>2348.88</v>
      </c>
      <c r="Q24" s="10" t="str">
        <f t="shared" si="1"/>
        <v/>
      </c>
      <c r="R24" s="10" t="str">
        <f t="shared" si="2"/>
        <v/>
      </c>
    </row>
    <row r="25" spans="1:18" ht="30">
      <c r="A25" s="520">
        <v>2049</v>
      </c>
      <c r="B25" s="448" t="s">
        <v>265</v>
      </c>
      <c r="C25" s="447" t="s">
        <v>186</v>
      </c>
      <c r="D25" s="447" t="s">
        <v>185</v>
      </c>
      <c r="E25" s="521" t="s">
        <v>253</v>
      </c>
      <c r="F25" s="522" t="s">
        <v>212</v>
      </c>
      <c r="G25" s="529" t="s">
        <v>246</v>
      </c>
      <c r="H25" s="521" t="s">
        <v>141</v>
      </c>
      <c r="I25" s="497">
        <v>0</v>
      </c>
      <c r="J25" s="501">
        <v>0</v>
      </c>
      <c r="K25" s="380">
        <v>0</v>
      </c>
      <c r="L25" s="380">
        <v>0</v>
      </c>
      <c r="N25" s="554" t="s">
        <v>254</v>
      </c>
      <c r="O25" s="555">
        <v>0</v>
      </c>
      <c r="P25" s="554">
        <f t="shared" si="0"/>
        <v>0</v>
      </c>
      <c r="Q25" s="10">
        <f t="shared" si="1"/>
        <v>0</v>
      </c>
      <c r="R25" s="10" t="e">
        <f t="shared" si="2"/>
        <v>#VALUE!</v>
      </c>
    </row>
    <row r="26" spans="1:18">
      <c r="A26" s="488">
        <v>5405</v>
      </c>
      <c r="B26" s="205" t="s">
        <v>266</v>
      </c>
      <c r="C26" s="205" t="s">
        <v>188</v>
      </c>
      <c r="D26" s="205" t="s">
        <v>187</v>
      </c>
      <c r="E26" s="490" t="s">
        <v>239</v>
      </c>
      <c r="F26" s="489" t="s">
        <v>217</v>
      </c>
      <c r="G26" s="491" t="s">
        <v>238</v>
      </c>
      <c r="H26" s="490" t="s">
        <v>141</v>
      </c>
      <c r="I26" s="495">
        <v>12</v>
      </c>
      <c r="J26" s="502">
        <v>12</v>
      </c>
      <c r="K26" s="507">
        <v>12</v>
      </c>
      <c r="L26" s="507">
        <v>12</v>
      </c>
      <c r="N26" s="554">
        <v>510.75</v>
      </c>
      <c r="O26" s="555"/>
      <c r="P26" s="554">
        <f t="shared" si="0"/>
        <v>6129</v>
      </c>
      <c r="Q26" s="10">
        <f t="shared" si="1"/>
        <v>510.75</v>
      </c>
      <c r="R26" s="10">
        <f t="shared" si="2"/>
        <v>0</v>
      </c>
    </row>
    <row r="27" spans="1:18" ht="30">
      <c r="A27" s="520">
        <v>4159</v>
      </c>
      <c r="B27" s="447" t="s">
        <v>267</v>
      </c>
      <c r="C27" s="447" t="s">
        <v>186</v>
      </c>
      <c r="D27" s="447" t="s">
        <v>187</v>
      </c>
      <c r="E27" s="521" t="s">
        <v>237</v>
      </c>
      <c r="F27" s="522" t="s">
        <v>217</v>
      </c>
      <c r="G27" s="529" t="s">
        <v>238</v>
      </c>
      <c r="H27" s="521" t="s">
        <v>141</v>
      </c>
      <c r="I27" s="497">
        <v>5</v>
      </c>
      <c r="J27" s="501">
        <v>10</v>
      </c>
      <c r="K27" s="508">
        <v>2.9166666666666665</v>
      </c>
      <c r="L27" s="508">
        <v>7.9166666666666661</v>
      </c>
      <c r="N27" s="554">
        <v>510.75</v>
      </c>
      <c r="O27" s="555"/>
      <c r="P27" s="554">
        <f t="shared" si="0"/>
        <v>4043.44</v>
      </c>
      <c r="Q27" s="10">
        <f t="shared" si="1"/>
        <v>510.75031578947375</v>
      </c>
      <c r="R27" s="10">
        <f t="shared" si="2"/>
        <v>3.1578947374555355E-4</v>
      </c>
    </row>
    <row r="28" spans="1:18" ht="30">
      <c r="A28" s="488">
        <v>4019</v>
      </c>
      <c r="B28" s="448" t="s">
        <v>268</v>
      </c>
      <c r="C28" s="205" t="s">
        <v>188</v>
      </c>
      <c r="D28" s="205" t="s">
        <v>187</v>
      </c>
      <c r="E28" s="490" t="s">
        <v>253</v>
      </c>
      <c r="F28" s="489" t="s">
        <v>217</v>
      </c>
      <c r="G28" s="491" t="s">
        <v>238</v>
      </c>
      <c r="H28" s="490" t="s">
        <v>130</v>
      </c>
      <c r="I28" s="495">
        <v>0</v>
      </c>
      <c r="J28" s="502">
        <v>0</v>
      </c>
      <c r="K28" s="509">
        <v>0</v>
      </c>
      <c r="L28" s="509">
        <v>0</v>
      </c>
      <c r="N28" s="554" t="s">
        <v>254</v>
      </c>
      <c r="O28" s="555">
        <v>0</v>
      </c>
      <c r="P28" s="554">
        <f t="shared" si="0"/>
        <v>0</v>
      </c>
      <c r="Q28" s="10">
        <f t="shared" si="1"/>
        <v>0</v>
      </c>
      <c r="R28" s="10" t="e">
        <f t="shared" si="2"/>
        <v>#VALUE!</v>
      </c>
    </row>
    <row r="29" spans="1:18" ht="30">
      <c r="A29" s="488">
        <v>4008</v>
      </c>
      <c r="B29" s="448" t="s">
        <v>269</v>
      </c>
      <c r="C29" s="205" t="s">
        <v>188</v>
      </c>
      <c r="D29" s="205" t="s">
        <v>187</v>
      </c>
      <c r="E29" s="490" t="s">
        <v>253</v>
      </c>
      <c r="F29" s="489" t="s">
        <v>217</v>
      </c>
      <c r="G29" s="491" t="s">
        <v>238</v>
      </c>
      <c r="H29" s="490" t="s">
        <v>141</v>
      </c>
      <c r="I29" s="495">
        <v>0</v>
      </c>
      <c r="J29" s="502">
        <v>0</v>
      </c>
      <c r="K29" s="509">
        <v>0</v>
      </c>
      <c r="L29" s="509">
        <v>0</v>
      </c>
      <c r="N29" s="554"/>
      <c r="O29" s="555"/>
      <c r="P29" s="554">
        <f t="shared" si="0"/>
        <v>0</v>
      </c>
      <c r="Q29" s="10">
        <f t="shared" si="1"/>
        <v>0</v>
      </c>
      <c r="R29" s="10">
        <f t="shared" si="2"/>
        <v>0</v>
      </c>
    </row>
    <row r="30" spans="1:18">
      <c r="A30" s="488">
        <v>4000</v>
      </c>
      <c r="B30" s="205" t="s">
        <v>270</v>
      </c>
      <c r="C30" s="205" t="s">
        <v>188</v>
      </c>
      <c r="D30" s="205" t="s">
        <v>187</v>
      </c>
      <c r="E30" s="490" t="s">
        <v>239</v>
      </c>
      <c r="F30" s="489" t="s">
        <v>217</v>
      </c>
      <c r="G30" s="491" t="s">
        <v>238</v>
      </c>
      <c r="H30" s="490" t="s">
        <v>240</v>
      </c>
      <c r="I30" s="495">
        <v>5</v>
      </c>
      <c r="J30" s="502">
        <v>5</v>
      </c>
      <c r="K30" s="507">
        <v>7.0833333333333339</v>
      </c>
      <c r="L30" s="507">
        <v>5</v>
      </c>
      <c r="N30" s="554">
        <v>229.81</v>
      </c>
      <c r="O30" s="555"/>
      <c r="P30" s="554">
        <f t="shared" si="0"/>
        <v>1149.05</v>
      </c>
      <c r="Q30" s="10">
        <f t="shared" si="1"/>
        <v>229.81</v>
      </c>
      <c r="R30" s="10">
        <f t="shared" si="2"/>
        <v>0</v>
      </c>
    </row>
    <row r="31" spans="1:18" ht="30">
      <c r="A31" s="520">
        <v>2071</v>
      </c>
      <c r="B31" s="448" t="s">
        <v>271</v>
      </c>
      <c r="C31" s="447" t="s">
        <v>186</v>
      </c>
      <c r="D31" s="447" t="s">
        <v>185</v>
      </c>
      <c r="E31" s="521" t="s">
        <v>253</v>
      </c>
      <c r="F31" s="522" t="s">
        <v>212</v>
      </c>
      <c r="G31" s="529" t="s">
        <v>249</v>
      </c>
      <c r="H31" s="521" t="s">
        <v>141</v>
      </c>
      <c r="I31" s="499">
        <v>0</v>
      </c>
      <c r="J31" s="596">
        <v>5</v>
      </c>
      <c r="K31" s="508">
        <v>0</v>
      </c>
      <c r="L31" s="598">
        <v>2.9166666666666665</v>
      </c>
      <c r="N31" s="554" t="s">
        <v>254</v>
      </c>
      <c r="O31" s="599">
        <v>537.88</v>
      </c>
      <c r="P31" s="554">
        <f t="shared" si="0"/>
        <v>1568.82</v>
      </c>
      <c r="Q31" s="10">
        <f t="shared" si="1"/>
        <v>537.88114285714289</v>
      </c>
      <c r="R31" s="10" t="e">
        <f t="shared" si="2"/>
        <v>#VALUE!</v>
      </c>
    </row>
    <row r="32" spans="1:18" ht="30">
      <c r="A32" s="520">
        <v>2270</v>
      </c>
      <c r="B32" s="447" t="s">
        <v>272</v>
      </c>
      <c r="C32" s="447" t="s">
        <v>186</v>
      </c>
      <c r="D32" s="447" t="s">
        <v>185</v>
      </c>
      <c r="E32" s="521" t="s">
        <v>237</v>
      </c>
      <c r="F32" s="522" t="s">
        <v>212</v>
      </c>
      <c r="G32" s="529" t="s">
        <v>258</v>
      </c>
      <c r="H32" s="521" t="s">
        <v>141</v>
      </c>
      <c r="I32" s="497">
        <v>5</v>
      </c>
      <c r="J32" s="501">
        <v>7</v>
      </c>
      <c r="K32" s="380">
        <v>2.9166666666666665</v>
      </c>
      <c r="L32" s="380">
        <v>6.1666666666666661</v>
      </c>
      <c r="N32" s="554">
        <v>537.88</v>
      </c>
      <c r="O32" s="555"/>
      <c r="P32" s="554">
        <f t="shared" si="0"/>
        <v>3316.93</v>
      </c>
      <c r="Q32" s="10">
        <f t="shared" si="1"/>
        <v>537.88054054054055</v>
      </c>
      <c r="R32" s="10">
        <f t="shared" si="2"/>
        <v>5.4054054055541201E-4</v>
      </c>
    </row>
    <row r="33" spans="1:18">
      <c r="A33" s="520">
        <v>2011</v>
      </c>
      <c r="B33" s="447" t="s">
        <v>273</v>
      </c>
      <c r="C33" s="447" t="s">
        <v>186</v>
      </c>
      <c r="D33" s="447" t="s">
        <v>185</v>
      </c>
      <c r="E33" s="521" t="s">
        <v>239</v>
      </c>
      <c r="F33" s="522" t="s">
        <v>212</v>
      </c>
      <c r="G33" s="529" t="s">
        <v>249</v>
      </c>
      <c r="H33" s="521" t="s">
        <v>214</v>
      </c>
      <c r="I33" s="497">
        <v>6</v>
      </c>
      <c r="J33" s="501">
        <v>6</v>
      </c>
      <c r="K33" s="380">
        <v>6</v>
      </c>
      <c r="L33" s="380">
        <v>6</v>
      </c>
      <c r="N33" s="554">
        <v>621.39</v>
      </c>
      <c r="O33" s="555"/>
      <c r="P33" s="554">
        <f t="shared" si="0"/>
        <v>3728.34</v>
      </c>
      <c r="Q33" s="10">
        <f t="shared" si="1"/>
        <v>621.39</v>
      </c>
      <c r="R33" s="10">
        <f t="shared" si="2"/>
        <v>0</v>
      </c>
    </row>
    <row r="34" spans="1:18">
      <c r="A34" s="516">
        <v>2533</v>
      </c>
      <c r="B34" s="279" t="s">
        <v>274</v>
      </c>
      <c r="C34" s="279" t="s">
        <v>186</v>
      </c>
      <c r="D34" s="279" t="s">
        <v>185</v>
      </c>
      <c r="E34" s="517" t="s">
        <v>239</v>
      </c>
      <c r="F34" s="518" t="s">
        <v>245</v>
      </c>
      <c r="G34" s="519" t="s">
        <v>246</v>
      </c>
      <c r="H34" s="517" t="s">
        <v>141</v>
      </c>
      <c r="I34" s="497">
        <v>8</v>
      </c>
      <c r="J34" s="501">
        <v>8</v>
      </c>
      <c r="K34" s="380">
        <v>8</v>
      </c>
      <c r="L34" s="380">
        <v>8</v>
      </c>
      <c r="N34" s="554">
        <v>353.88</v>
      </c>
      <c r="O34" s="555"/>
      <c r="P34" s="554">
        <f t="shared" si="0"/>
        <v>2831.04</v>
      </c>
      <c r="Q34" s="10">
        <f t="shared" si="1"/>
        <v>353.87999999999994</v>
      </c>
      <c r="R34" s="10">
        <f t="shared" si="2"/>
        <v>-5.6843418860808015E-14</v>
      </c>
    </row>
    <row r="35" spans="1:18">
      <c r="A35" s="516">
        <v>2533</v>
      </c>
      <c r="B35" s="279" t="s">
        <v>274</v>
      </c>
      <c r="C35" s="279" t="s">
        <v>186</v>
      </c>
      <c r="D35" s="279" t="s">
        <v>185</v>
      </c>
      <c r="E35" s="517" t="s">
        <v>239</v>
      </c>
      <c r="F35" s="518" t="s">
        <v>245</v>
      </c>
      <c r="G35" s="519" t="s">
        <v>246</v>
      </c>
      <c r="H35" s="517" t="s">
        <v>142</v>
      </c>
      <c r="I35" s="497">
        <v>16</v>
      </c>
      <c r="J35" s="501">
        <v>16</v>
      </c>
      <c r="K35" s="380">
        <v>16</v>
      </c>
      <c r="L35" s="380">
        <v>16</v>
      </c>
      <c r="N35" s="554">
        <v>353.88</v>
      </c>
      <c r="O35" s="555"/>
      <c r="P35" s="554">
        <f t="shared" si="0"/>
        <v>5662.08</v>
      </c>
      <c r="Q35" s="10" t="str">
        <f t="shared" si="1"/>
        <v/>
      </c>
      <c r="R35" s="10" t="str">
        <f t="shared" si="2"/>
        <v/>
      </c>
    </row>
    <row r="36" spans="1:18" ht="30">
      <c r="A36" s="520">
        <v>2091</v>
      </c>
      <c r="B36" s="448" t="s">
        <v>275</v>
      </c>
      <c r="C36" s="447" t="s">
        <v>186</v>
      </c>
      <c r="D36" s="447" t="s">
        <v>185</v>
      </c>
      <c r="E36" s="521" t="s">
        <v>253</v>
      </c>
      <c r="F36" s="522" t="s">
        <v>212</v>
      </c>
      <c r="G36" s="529" t="s">
        <v>249</v>
      </c>
      <c r="H36" s="521" t="s">
        <v>141</v>
      </c>
      <c r="I36" s="497">
        <v>0</v>
      </c>
      <c r="J36" s="501">
        <v>6</v>
      </c>
      <c r="K36" s="380">
        <v>0</v>
      </c>
      <c r="L36" s="380">
        <v>3.5</v>
      </c>
      <c r="N36" s="554" t="s">
        <v>254</v>
      </c>
      <c r="O36" s="555">
        <v>537.88</v>
      </c>
      <c r="P36" s="554">
        <f t="shared" si="0"/>
        <v>1882.58</v>
      </c>
      <c r="Q36" s="10">
        <f t="shared" si="1"/>
        <v>537.88</v>
      </c>
      <c r="R36" s="10" t="e">
        <f t="shared" si="2"/>
        <v>#VALUE!</v>
      </c>
    </row>
    <row r="37" spans="1:18" ht="30">
      <c r="A37" s="520">
        <v>4163</v>
      </c>
      <c r="B37" s="448" t="s">
        <v>276</v>
      </c>
      <c r="C37" s="447" t="s">
        <v>186</v>
      </c>
      <c r="D37" s="447" t="s">
        <v>187</v>
      </c>
      <c r="E37" s="521" t="s">
        <v>253</v>
      </c>
      <c r="F37" s="522" t="s">
        <v>217</v>
      </c>
      <c r="G37" s="529" t="s">
        <v>238</v>
      </c>
      <c r="H37" s="521" t="s">
        <v>141</v>
      </c>
      <c r="I37" s="497">
        <v>0</v>
      </c>
      <c r="J37" s="501">
        <v>7</v>
      </c>
      <c r="K37" s="380">
        <v>0</v>
      </c>
      <c r="L37" s="380">
        <v>4.083333333333333</v>
      </c>
      <c r="N37" s="554" t="s">
        <v>254</v>
      </c>
      <c r="O37" s="555">
        <v>510.75</v>
      </c>
      <c r="P37" s="554">
        <f t="shared" si="0"/>
        <v>2085.56</v>
      </c>
      <c r="Q37" s="10">
        <f t="shared" si="1"/>
        <v>510.74938775510208</v>
      </c>
      <c r="R37" s="10" t="e">
        <f t="shared" si="2"/>
        <v>#VALUE!</v>
      </c>
    </row>
    <row r="38" spans="1:18">
      <c r="A38" s="520">
        <v>4174</v>
      </c>
      <c r="B38" s="447" t="s">
        <v>277</v>
      </c>
      <c r="C38" s="447" t="s">
        <v>186</v>
      </c>
      <c r="D38" s="447" t="s">
        <v>187</v>
      </c>
      <c r="E38" s="521" t="s">
        <v>239</v>
      </c>
      <c r="F38" s="522" t="s">
        <v>217</v>
      </c>
      <c r="G38" s="529" t="s">
        <v>238</v>
      </c>
      <c r="H38" s="521" t="s">
        <v>215</v>
      </c>
      <c r="I38" s="497">
        <v>6</v>
      </c>
      <c r="J38" s="501">
        <v>6</v>
      </c>
      <c r="K38" s="380">
        <v>6</v>
      </c>
      <c r="L38" s="380">
        <v>6</v>
      </c>
      <c r="N38" s="554">
        <v>384.09999999999997</v>
      </c>
      <c r="O38" s="555"/>
      <c r="P38" s="554">
        <f t="shared" si="0"/>
        <v>2304.6</v>
      </c>
      <c r="Q38" s="10">
        <f t="shared" si="1"/>
        <v>384.09999999999997</v>
      </c>
      <c r="R38" s="10">
        <f t="shared" si="2"/>
        <v>0</v>
      </c>
    </row>
    <row r="39" spans="1:18">
      <c r="A39" s="516">
        <v>2237</v>
      </c>
      <c r="B39" s="448" t="s">
        <v>278</v>
      </c>
      <c r="C39" s="279" t="s">
        <v>186</v>
      </c>
      <c r="D39" s="279" t="s">
        <v>185</v>
      </c>
      <c r="E39" s="517" t="s">
        <v>251</v>
      </c>
      <c r="F39" s="518" t="s">
        <v>242</v>
      </c>
      <c r="G39" s="519" t="s">
        <v>243</v>
      </c>
      <c r="H39" s="517" t="s">
        <v>130</v>
      </c>
      <c r="I39" s="497">
        <v>0</v>
      </c>
      <c r="J39" s="501">
        <v>0</v>
      </c>
      <c r="K39" s="380">
        <v>0</v>
      </c>
      <c r="L39" s="380">
        <v>0</v>
      </c>
      <c r="N39" s="554">
        <v>353.88</v>
      </c>
      <c r="O39" s="555"/>
      <c r="P39" s="554">
        <f t="shared" si="0"/>
        <v>0</v>
      </c>
      <c r="Q39" s="10">
        <f t="shared" si="1"/>
        <v>353.88</v>
      </c>
      <c r="R39" s="10">
        <f t="shared" si="2"/>
        <v>0</v>
      </c>
    </row>
    <row r="40" spans="1:18">
      <c r="A40" s="516">
        <v>2237</v>
      </c>
      <c r="B40" s="279" t="s">
        <v>278</v>
      </c>
      <c r="C40" s="279" t="s">
        <v>186</v>
      </c>
      <c r="D40" s="279" t="s">
        <v>185</v>
      </c>
      <c r="E40" s="517" t="s">
        <v>239</v>
      </c>
      <c r="F40" s="518" t="s">
        <v>242</v>
      </c>
      <c r="G40" s="519" t="s">
        <v>243</v>
      </c>
      <c r="H40" s="517" t="s">
        <v>142</v>
      </c>
      <c r="I40" s="498">
        <v>12</v>
      </c>
      <c r="J40" s="501">
        <v>6</v>
      </c>
      <c r="K40" s="506">
        <v>12</v>
      </c>
      <c r="L40" s="506">
        <v>8.5</v>
      </c>
      <c r="N40" s="554">
        <v>353.88</v>
      </c>
      <c r="O40" s="555"/>
      <c r="P40" s="554">
        <f t="shared" si="0"/>
        <v>3007.98</v>
      </c>
      <c r="Q40" s="10" t="str">
        <f t="shared" si="1"/>
        <v/>
      </c>
      <c r="R40" s="10" t="str">
        <f t="shared" si="2"/>
        <v/>
      </c>
    </row>
    <row r="41" spans="1:18" ht="30">
      <c r="A41" s="520">
        <v>2274</v>
      </c>
      <c r="B41" s="448" t="s">
        <v>279</v>
      </c>
      <c r="C41" s="447" t="s">
        <v>186</v>
      </c>
      <c r="D41" s="447" t="s">
        <v>185</v>
      </c>
      <c r="E41" s="521" t="s">
        <v>253</v>
      </c>
      <c r="F41" s="522" t="s">
        <v>212</v>
      </c>
      <c r="G41" s="529" t="s">
        <v>246</v>
      </c>
      <c r="H41" s="521" t="s">
        <v>130</v>
      </c>
      <c r="I41" s="498">
        <v>0</v>
      </c>
      <c r="J41" s="501">
        <v>0</v>
      </c>
      <c r="K41" s="506">
        <v>0</v>
      </c>
      <c r="L41" s="506">
        <v>0</v>
      </c>
      <c r="N41" s="554" t="s">
        <v>254</v>
      </c>
      <c r="O41" s="555">
        <v>0</v>
      </c>
      <c r="P41" s="554">
        <f t="shared" si="0"/>
        <v>0</v>
      </c>
      <c r="Q41" s="10">
        <f t="shared" si="1"/>
        <v>0</v>
      </c>
      <c r="R41" s="10" t="e">
        <f t="shared" si="2"/>
        <v>#VALUE!</v>
      </c>
    </row>
    <row r="42" spans="1:18">
      <c r="A42" s="516">
        <v>2777</v>
      </c>
      <c r="B42" s="279" t="s">
        <v>280</v>
      </c>
      <c r="C42" s="279" t="s">
        <v>186</v>
      </c>
      <c r="D42" s="279" t="s">
        <v>185</v>
      </c>
      <c r="E42" s="517" t="s">
        <v>239</v>
      </c>
      <c r="F42" s="518" t="s">
        <v>212</v>
      </c>
      <c r="G42" s="519" t="s">
        <v>249</v>
      </c>
      <c r="H42" s="517" t="s">
        <v>141</v>
      </c>
      <c r="I42" s="497">
        <v>33</v>
      </c>
      <c r="J42" s="501">
        <v>36</v>
      </c>
      <c r="K42" s="380">
        <v>24.666666666666668</v>
      </c>
      <c r="L42" s="380">
        <v>34.75</v>
      </c>
      <c r="N42" s="554">
        <v>462.92</v>
      </c>
      <c r="O42" s="555">
        <v>537.88</v>
      </c>
      <c r="P42" s="554">
        <f t="shared" si="0"/>
        <v>18691.330000000002</v>
      </c>
      <c r="Q42" s="10">
        <f t="shared" si="1"/>
        <v>531.4908333333334</v>
      </c>
      <c r="R42" s="10">
        <f t="shared" si="2"/>
        <v>68.570833333333383</v>
      </c>
    </row>
    <row r="43" spans="1:18" ht="30">
      <c r="A43" s="516">
        <v>2777</v>
      </c>
      <c r="B43" s="279" t="s">
        <v>280</v>
      </c>
      <c r="C43" s="279" t="s">
        <v>186</v>
      </c>
      <c r="D43" s="279" t="s">
        <v>185</v>
      </c>
      <c r="E43" s="517" t="s">
        <v>281</v>
      </c>
      <c r="F43" s="518" t="s">
        <v>212</v>
      </c>
      <c r="G43" s="519" t="s">
        <v>249</v>
      </c>
      <c r="H43" s="517" t="s">
        <v>142</v>
      </c>
      <c r="I43" s="497">
        <v>3</v>
      </c>
      <c r="J43" s="501">
        <v>0</v>
      </c>
      <c r="K43" s="380">
        <v>7.583333333333333</v>
      </c>
      <c r="L43" s="380">
        <v>1.25</v>
      </c>
      <c r="N43" s="554">
        <v>462.92</v>
      </c>
      <c r="O43" s="555">
        <v>353.87</v>
      </c>
      <c r="P43" s="554">
        <f t="shared" si="0"/>
        <v>442.34</v>
      </c>
      <c r="Q43" s="10" t="str">
        <f t="shared" si="1"/>
        <v/>
      </c>
      <c r="R43" s="10" t="str">
        <f t="shared" si="2"/>
        <v/>
      </c>
    </row>
    <row r="44" spans="1:18">
      <c r="A44" s="520">
        <v>4173</v>
      </c>
      <c r="B44" s="447" t="s">
        <v>282</v>
      </c>
      <c r="C44" s="447" t="s">
        <v>186</v>
      </c>
      <c r="D44" s="447" t="s">
        <v>187</v>
      </c>
      <c r="E44" s="521" t="s">
        <v>239</v>
      </c>
      <c r="F44" s="522" t="s">
        <v>217</v>
      </c>
      <c r="G44" s="529" t="s">
        <v>238</v>
      </c>
      <c r="H44" s="521" t="s">
        <v>141</v>
      </c>
      <c r="I44" s="589">
        <v>21</v>
      </c>
      <c r="J44" s="501">
        <v>21</v>
      </c>
      <c r="K44" s="508">
        <v>18.5</v>
      </c>
      <c r="L44" s="508">
        <v>21</v>
      </c>
      <c r="N44" s="554">
        <v>510.75</v>
      </c>
      <c r="O44" s="555"/>
      <c r="P44" s="554">
        <f t="shared" si="0"/>
        <v>10725.75</v>
      </c>
      <c r="Q44" s="10">
        <f t="shared" si="1"/>
        <v>510.75</v>
      </c>
      <c r="R44" s="10">
        <f t="shared" si="2"/>
        <v>0</v>
      </c>
    </row>
    <row r="45" spans="1:18" ht="30">
      <c r="A45" s="488">
        <v>2070</v>
      </c>
      <c r="B45" s="448" t="s">
        <v>283</v>
      </c>
      <c r="C45" s="205" t="s">
        <v>188</v>
      </c>
      <c r="D45" s="205" t="s">
        <v>185</v>
      </c>
      <c r="E45" s="490" t="s">
        <v>253</v>
      </c>
      <c r="F45" s="489" t="s">
        <v>212</v>
      </c>
      <c r="G45" s="491" t="s">
        <v>249</v>
      </c>
      <c r="H45" s="490" t="s">
        <v>130</v>
      </c>
      <c r="I45" s="494">
        <v>0</v>
      </c>
      <c r="J45" s="502">
        <v>4</v>
      </c>
      <c r="K45" s="381">
        <v>0</v>
      </c>
      <c r="L45" s="381">
        <v>2.3333333333333335</v>
      </c>
      <c r="N45" s="554" t="s">
        <v>254</v>
      </c>
      <c r="O45" s="555">
        <v>357.51</v>
      </c>
      <c r="P45" s="554">
        <f t="shared" si="0"/>
        <v>834.19</v>
      </c>
      <c r="Q45" s="10">
        <f t="shared" si="1"/>
        <v>357.51</v>
      </c>
      <c r="R45" s="10" t="e">
        <f t="shared" si="2"/>
        <v>#VALUE!</v>
      </c>
    </row>
    <row r="46" spans="1:18" ht="30">
      <c r="A46" s="488">
        <v>5408</v>
      </c>
      <c r="B46" s="448" t="s">
        <v>284</v>
      </c>
      <c r="C46" s="205" t="s">
        <v>188</v>
      </c>
      <c r="D46" s="205" t="s">
        <v>187</v>
      </c>
      <c r="E46" s="490" t="s">
        <v>253</v>
      </c>
      <c r="F46" s="489" t="s">
        <v>217</v>
      </c>
      <c r="G46" s="491" t="s">
        <v>238</v>
      </c>
      <c r="H46" s="490" t="s">
        <v>141</v>
      </c>
      <c r="I46" s="494">
        <v>0</v>
      </c>
      <c r="J46" s="502">
        <v>7</v>
      </c>
      <c r="K46" s="381">
        <v>0</v>
      </c>
      <c r="L46" s="381">
        <v>4.083333333333333</v>
      </c>
      <c r="N46" s="554" t="s">
        <v>254</v>
      </c>
      <c r="O46" s="555">
        <v>510.75</v>
      </c>
      <c r="P46" s="554">
        <f t="shared" si="0"/>
        <v>2085.56</v>
      </c>
      <c r="Q46" s="10">
        <f t="shared" si="1"/>
        <v>510.74938775510208</v>
      </c>
      <c r="R46" s="10" t="e">
        <f t="shared" si="2"/>
        <v>#VALUE!</v>
      </c>
    </row>
    <row r="47" spans="1:18">
      <c r="A47" s="520">
        <v>2347</v>
      </c>
      <c r="B47" s="447" t="s">
        <v>285</v>
      </c>
      <c r="C47" s="447" t="s">
        <v>186</v>
      </c>
      <c r="D47" s="447" t="s">
        <v>185</v>
      </c>
      <c r="E47" s="521" t="s">
        <v>239</v>
      </c>
      <c r="F47" s="522" t="s">
        <v>212</v>
      </c>
      <c r="G47" s="529" t="s">
        <v>249</v>
      </c>
      <c r="H47" s="521" t="s">
        <v>214</v>
      </c>
      <c r="I47" s="499">
        <v>9</v>
      </c>
      <c r="J47" s="501">
        <v>9</v>
      </c>
      <c r="K47" s="508">
        <v>9</v>
      </c>
      <c r="L47" s="508">
        <v>9</v>
      </c>
      <c r="N47" s="554">
        <v>760.38</v>
      </c>
      <c r="O47" s="555"/>
      <c r="P47" s="554">
        <f t="shared" si="0"/>
        <v>6843.42</v>
      </c>
      <c r="Q47" s="10">
        <f t="shared" si="1"/>
        <v>760.38</v>
      </c>
      <c r="R47" s="10">
        <f t="shared" si="2"/>
        <v>0</v>
      </c>
    </row>
    <row r="48" spans="1:18">
      <c r="A48" s="520">
        <v>4310</v>
      </c>
      <c r="B48" s="447" t="s">
        <v>286</v>
      </c>
      <c r="C48" s="447" t="s">
        <v>186</v>
      </c>
      <c r="D48" s="447" t="s">
        <v>187</v>
      </c>
      <c r="E48" s="521" t="s">
        <v>239</v>
      </c>
      <c r="F48" s="522" t="s">
        <v>217</v>
      </c>
      <c r="G48" s="529" t="s">
        <v>238</v>
      </c>
      <c r="H48" s="521" t="s">
        <v>220</v>
      </c>
      <c r="I48" s="497">
        <v>6</v>
      </c>
      <c r="J48" s="501">
        <v>6</v>
      </c>
      <c r="K48" s="380">
        <v>8.5</v>
      </c>
      <c r="L48" s="380">
        <v>6</v>
      </c>
      <c r="N48" s="554">
        <v>559.75</v>
      </c>
      <c r="O48" s="555"/>
      <c r="P48" s="554">
        <f t="shared" si="0"/>
        <v>3358.5</v>
      </c>
      <c r="Q48" s="10">
        <f t="shared" si="1"/>
        <v>559.75</v>
      </c>
      <c r="R48" s="10">
        <f t="shared" si="2"/>
        <v>0</v>
      </c>
    </row>
    <row r="49" spans="1:18">
      <c r="A49" s="520">
        <v>2291</v>
      </c>
      <c r="B49" s="447" t="s">
        <v>10</v>
      </c>
      <c r="C49" s="447" t="s">
        <v>186</v>
      </c>
      <c r="D49" s="447" t="s">
        <v>185</v>
      </c>
      <c r="E49" s="521" t="s">
        <v>239</v>
      </c>
      <c r="F49" s="522" t="s">
        <v>242</v>
      </c>
      <c r="G49" s="529" t="s">
        <v>258</v>
      </c>
      <c r="H49" s="521" t="s">
        <v>143</v>
      </c>
      <c r="I49" s="497">
        <v>10</v>
      </c>
      <c r="J49" s="501">
        <v>10</v>
      </c>
      <c r="K49" s="380">
        <v>10</v>
      </c>
      <c r="L49" s="380">
        <v>10</v>
      </c>
      <c r="N49" s="554">
        <v>236.85</v>
      </c>
      <c r="O49" s="555"/>
      <c r="P49" s="554">
        <f t="shared" si="0"/>
        <v>2368.5</v>
      </c>
      <c r="Q49" s="10">
        <f t="shared" si="1"/>
        <v>236.85</v>
      </c>
      <c r="R49" s="10">
        <f t="shared" si="2"/>
        <v>0</v>
      </c>
    </row>
    <row r="50" spans="1:18">
      <c r="A50" s="520">
        <v>2127</v>
      </c>
      <c r="B50" s="447" t="s">
        <v>287</v>
      </c>
      <c r="C50" s="447" t="s">
        <v>186</v>
      </c>
      <c r="D50" s="447" t="s">
        <v>185</v>
      </c>
      <c r="E50" s="521" t="s">
        <v>239</v>
      </c>
      <c r="F50" s="522" t="s">
        <v>245</v>
      </c>
      <c r="G50" s="529" t="s">
        <v>246</v>
      </c>
      <c r="H50" s="521" t="s">
        <v>143</v>
      </c>
      <c r="I50" s="497">
        <v>12</v>
      </c>
      <c r="J50" s="501">
        <v>12</v>
      </c>
      <c r="K50" s="380">
        <v>12</v>
      </c>
      <c r="L50" s="380">
        <v>12</v>
      </c>
      <c r="N50" s="554">
        <v>236.85</v>
      </c>
      <c r="O50" s="555"/>
      <c r="P50" s="554">
        <f t="shared" si="0"/>
        <v>2842.2</v>
      </c>
      <c r="Q50" s="10">
        <f t="shared" si="1"/>
        <v>236.85</v>
      </c>
      <c r="R50" s="10">
        <f t="shared" si="2"/>
        <v>0</v>
      </c>
    </row>
    <row r="51" spans="1:18">
      <c r="A51" s="520">
        <v>2520</v>
      </c>
      <c r="B51" s="447" t="s">
        <v>288</v>
      </c>
      <c r="C51" s="447" t="s">
        <v>186</v>
      </c>
      <c r="D51" s="447" t="s">
        <v>185</v>
      </c>
      <c r="E51" s="521" t="s">
        <v>239</v>
      </c>
      <c r="F51" s="522" t="s">
        <v>245</v>
      </c>
      <c r="G51" s="529" t="s">
        <v>289</v>
      </c>
      <c r="H51" s="521" t="s">
        <v>215</v>
      </c>
      <c r="I51" s="497">
        <v>6</v>
      </c>
      <c r="J51" s="501">
        <v>6</v>
      </c>
      <c r="K51" s="380">
        <v>6</v>
      </c>
      <c r="L51" s="380">
        <v>6</v>
      </c>
      <c r="N51" s="554">
        <v>729.17</v>
      </c>
      <c r="O51" s="555"/>
      <c r="P51" s="554">
        <f t="shared" si="0"/>
        <v>4375.0200000000004</v>
      </c>
      <c r="Q51" s="10">
        <f t="shared" si="1"/>
        <v>729.17000000000007</v>
      </c>
      <c r="R51" s="10">
        <f t="shared" si="2"/>
        <v>1.1368683772161603E-13</v>
      </c>
    </row>
    <row r="52" spans="1:18">
      <c r="A52" s="520">
        <v>3101</v>
      </c>
      <c r="B52" s="447" t="s">
        <v>290</v>
      </c>
      <c r="C52" s="447" t="s">
        <v>186</v>
      </c>
      <c r="D52" s="447" t="s">
        <v>185</v>
      </c>
      <c r="E52" s="521" t="s">
        <v>239</v>
      </c>
      <c r="F52" s="522" t="s">
        <v>212</v>
      </c>
      <c r="G52" s="529" t="s">
        <v>249</v>
      </c>
      <c r="H52" s="521" t="s">
        <v>215</v>
      </c>
      <c r="I52" s="499">
        <v>14</v>
      </c>
      <c r="J52" s="501">
        <v>14</v>
      </c>
      <c r="K52" s="508">
        <v>14</v>
      </c>
      <c r="L52" s="508">
        <v>14</v>
      </c>
      <c r="N52" s="554">
        <v>671.95</v>
      </c>
      <c r="O52" s="555"/>
      <c r="P52" s="554">
        <f t="shared" si="0"/>
        <v>9407.2999999999993</v>
      </c>
      <c r="Q52" s="10">
        <f t="shared" si="1"/>
        <v>671.94999999999993</v>
      </c>
      <c r="R52" s="10">
        <f t="shared" si="2"/>
        <v>-1.1368683772161603E-13</v>
      </c>
    </row>
    <row r="53" spans="1:18">
      <c r="A53" s="516">
        <v>2774</v>
      </c>
      <c r="B53" s="279" t="s">
        <v>291</v>
      </c>
      <c r="C53" s="279" t="s">
        <v>186</v>
      </c>
      <c r="D53" s="279" t="s">
        <v>185</v>
      </c>
      <c r="E53" s="517" t="s">
        <v>239</v>
      </c>
      <c r="F53" s="518" t="s">
        <v>212</v>
      </c>
      <c r="G53" s="519" t="s">
        <v>249</v>
      </c>
      <c r="H53" s="517" t="s">
        <v>141</v>
      </c>
      <c r="I53" s="497">
        <v>8</v>
      </c>
      <c r="J53" s="501">
        <v>16</v>
      </c>
      <c r="K53" s="380">
        <v>8</v>
      </c>
      <c r="L53" s="380">
        <v>12.666666666666668</v>
      </c>
      <c r="N53" s="554">
        <v>342.58</v>
      </c>
      <c r="O53" s="555">
        <v>537.88</v>
      </c>
      <c r="P53" s="554">
        <f t="shared" si="0"/>
        <v>6813.15</v>
      </c>
      <c r="Q53" s="10">
        <f t="shared" si="1"/>
        <v>450.98666666666668</v>
      </c>
      <c r="R53" s="10">
        <f t="shared" si="2"/>
        <v>108.40666666666669</v>
      </c>
    </row>
    <row r="54" spans="1:18">
      <c r="A54" s="516">
        <v>2774</v>
      </c>
      <c r="B54" s="279" t="s">
        <v>291</v>
      </c>
      <c r="C54" s="279" t="s">
        <v>186</v>
      </c>
      <c r="D54" s="279" t="s">
        <v>185</v>
      </c>
      <c r="E54" s="517" t="s">
        <v>239</v>
      </c>
      <c r="F54" s="518" t="s">
        <v>212</v>
      </c>
      <c r="G54" s="519" t="s">
        <v>249</v>
      </c>
      <c r="H54" s="517" t="s">
        <v>142</v>
      </c>
      <c r="I54" s="497">
        <v>16</v>
      </c>
      <c r="J54" s="501">
        <v>8</v>
      </c>
      <c r="K54" s="380">
        <v>16</v>
      </c>
      <c r="L54" s="380">
        <v>11.333333333333334</v>
      </c>
      <c r="N54" s="554">
        <v>342.58</v>
      </c>
      <c r="O54" s="555">
        <v>353.87</v>
      </c>
      <c r="P54" s="554">
        <f t="shared" si="0"/>
        <v>4010.53</v>
      </c>
      <c r="Q54" s="10" t="str">
        <f t="shared" si="1"/>
        <v/>
      </c>
      <c r="R54" s="10" t="str">
        <f t="shared" si="2"/>
        <v/>
      </c>
    </row>
    <row r="55" spans="1:18" ht="30">
      <c r="A55" s="488">
        <v>2073</v>
      </c>
      <c r="B55" s="448" t="s">
        <v>292</v>
      </c>
      <c r="C55" s="205" t="s">
        <v>188</v>
      </c>
      <c r="D55" s="205" t="s">
        <v>185</v>
      </c>
      <c r="E55" s="490" t="s">
        <v>253</v>
      </c>
      <c r="F55" s="489" t="s">
        <v>212</v>
      </c>
      <c r="G55" s="491" t="s">
        <v>249</v>
      </c>
      <c r="H55" s="490" t="s">
        <v>130</v>
      </c>
      <c r="I55" s="494">
        <v>0</v>
      </c>
      <c r="J55" s="502">
        <v>4</v>
      </c>
      <c r="K55" s="381">
        <v>0</v>
      </c>
      <c r="L55" s="381">
        <v>2.3333333333333335</v>
      </c>
      <c r="N55" s="554" t="s">
        <v>254</v>
      </c>
      <c r="O55" s="555">
        <v>357.51</v>
      </c>
      <c r="P55" s="554">
        <f t="shared" si="0"/>
        <v>834.19</v>
      </c>
      <c r="Q55" s="10">
        <f t="shared" si="1"/>
        <v>357.51</v>
      </c>
      <c r="R55" s="10" t="e">
        <f t="shared" si="2"/>
        <v>#VALUE!</v>
      </c>
    </row>
    <row r="56" spans="1:18" ht="30">
      <c r="A56" s="520">
        <v>3192</v>
      </c>
      <c r="B56" s="447" t="s">
        <v>293</v>
      </c>
      <c r="C56" s="447" t="s">
        <v>186</v>
      </c>
      <c r="D56" s="447" t="s">
        <v>185</v>
      </c>
      <c r="E56" s="521" t="s">
        <v>237</v>
      </c>
      <c r="F56" s="522" t="s">
        <v>212</v>
      </c>
      <c r="G56" s="529" t="s">
        <v>249</v>
      </c>
      <c r="H56" s="521" t="s">
        <v>141</v>
      </c>
      <c r="I56" s="497">
        <v>8</v>
      </c>
      <c r="J56" s="501">
        <v>8</v>
      </c>
      <c r="K56" s="380">
        <v>4.666666666666667</v>
      </c>
      <c r="L56" s="380">
        <v>8</v>
      </c>
      <c r="N56" s="554">
        <v>537.88</v>
      </c>
      <c r="O56" s="555"/>
      <c r="P56" s="554">
        <f t="shared" si="0"/>
        <v>4303.04</v>
      </c>
      <c r="Q56" s="10">
        <f t="shared" si="1"/>
        <v>537.88</v>
      </c>
      <c r="R56" s="10">
        <f t="shared" si="2"/>
        <v>0</v>
      </c>
    </row>
    <row r="57" spans="1:18">
      <c r="A57" s="512">
        <v>4128</v>
      </c>
      <c r="B57" s="263" t="s">
        <v>294</v>
      </c>
      <c r="C57" s="263" t="s">
        <v>188</v>
      </c>
      <c r="D57" s="263" t="s">
        <v>187</v>
      </c>
      <c r="E57" s="513" t="s">
        <v>239</v>
      </c>
      <c r="F57" s="514" t="s">
        <v>217</v>
      </c>
      <c r="G57" s="515" t="s">
        <v>238</v>
      </c>
      <c r="H57" s="513" t="s">
        <v>220</v>
      </c>
      <c r="I57" s="494">
        <v>5</v>
      </c>
      <c r="J57" s="502">
        <v>5</v>
      </c>
      <c r="K57" s="381">
        <v>5</v>
      </c>
      <c r="L57" s="381">
        <v>5</v>
      </c>
      <c r="N57" s="554">
        <v>482.2</v>
      </c>
      <c r="O57" s="555"/>
      <c r="P57" s="554">
        <f t="shared" si="0"/>
        <v>2411</v>
      </c>
      <c r="Q57" s="10">
        <f t="shared" si="1"/>
        <v>482.20000000000005</v>
      </c>
      <c r="R57" s="10">
        <f t="shared" si="2"/>
        <v>5.6843418860808015E-14</v>
      </c>
    </row>
    <row r="58" spans="1:18">
      <c r="A58" s="512">
        <v>4128</v>
      </c>
      <c r="B58" s="263" t="s">
        <v>294</v>
      </c>
      <c r="C58" s="263" t="s">
        <v>188</v>
      </c>
      <c r="D58" s="263" t="s">
        <v>187</v>
      </c>
      <c r="E58" s="513" t="s">
        <v>239</v>
      </c>
      <c r="F58" s="514" t="s">
        <v>217</v>
      </c>
      <c r="G58" s="515" t="s">
        <v>238</v>
      </c>
      <c r="H58" s="513" t="s">
        <v>130</v>
      </c>
      <c r="I58" s="494">
        <v>16</v>
      </c>
      <c r="J58" s="502">
        <v>16</v>
      </c>
      <c r="K58" s="381">
        <v>13.5</v>
      </c>
      <c r="L58" s="381">
        <v>16</v>
      </c>
      <c r="N58" s="554">
        <v>482.2</v>
      </c>
      <c r="O58" s="555"/>
      <c r="P58" s="554">
        <f t="shared" si="0"/>
        <v>7715.2</v>
      </c>
      <c r="Q58" s="10" t="str">
        <f t="shared" si="1"/>
        <v/>
      </c>
      <c r="R58" s="10" t="str">
        <f t="shared" si="2"/>
        <v/>
      </c>
    </row>
    <row r="59" spans="1:18">
      <c r="A59" s="488">
        <v>4007</v>
      </c>
      <c r="B59" s="205" t="s">
        <v>295</v>
      </c>
      <c r="C59" s="205" t="s">
        <v>188</v>
      </c>
      <c r="D59" s="205" t="s">
        <v>187</v>
      </c>
      <c r="E59" s="490" t="s">
        <v>239</v>
      </c>
      <c r="F59" s="489" t="s">
        <v>217</v>
      </c>
      <c r="G59" s="491" t="s">
        <v>238</v>
      </c>
      <c r="H59" s="490" t="s">
        <v>143</v>
      </c>
      <c r="I59" s="494">
        <v>6</v>
      </c>
      <c r="J59" s="502">
        <v>6</v>
      </c>
      <c r="K59" s="381">
        <v>6</v>
      </c>
      <c r="L59" s="381">
        <v>6</v>
      </c>
      <c r="N59" s="554">
        <v>284.75</v>
      </c>
      <c r="O59" s="555"/>
      <c r="P59" s="554">
        <f t="shared" si="0"/>
        <v>1708.5</v>
      </c>
      <c r="Q59" s="10">
        <f t="shared" si="1"/>
        <v>284.75</v>
      </c>
      <c r="R59" s="10">
        <f t="shared" si="2"/>
        <v>0</v>
      </c>
    </row>
    <row r="60" spans="1:18">
      <c r="A60" s="520">
        <v>2732</v>
      </c>
      <c r="B60" s="447" t="s">
        <v>296</v>
      </c>
      <c r="C60" s="447" t="s">
        <v>186</v>
      </c>
      <c r="D60" s="447" t="s">
        <v>185</v>
      </c>
      <c r="E60" s="521" t="s">
        <v>239</v>
      </c>
      <c r="F60" s="530" t="s">
        <v>212</v>
      </c>
      <c r="G60" s="531" t="s">
        <v>249</v>
      </c>
      <c r="H60" s="521" t="s">
        <v>215</v>
      </c>
      <c r="I60" s="497">
        <v>6</v>
      </c>
      <c r="J60" s="501">
        <v>6</v>
      </c>
      <c r="K60" s="380">
        <v>6</v>
      </c>
      <c r="L60" s="380">
        <v>6</v>
      </c>
      <c r="N60" s="554">
        <v>729.17</v>
      </c>
      <c r="O60" s="555"/>
      <c r="P60" s="554">
        <f t="shared" si="0"/>
        <v>4375.0200000000004</v>
      </c>
      <c r="Q60" s="10">
        <f t="shared" si="1"/>
        <v>729.17000000000007</v>
      </c>
      <c r="R60" s="10">
        <f t="shared" si="2"/>
        <v>1.1368683772161603E-13</v>
      </c>
    </row>
    <row r="61" spans="1:18">
      <c r="A61" s="520">
        <v>3124</v>
      </c>
      <c r="B61" s="447" t="s">
        <v>297</v>
      </c>
      <c r="C61" s="447" t="s">
        <v>186</v>
      </c>
      <c r="D61" s="447" t="s">
        <v>185</v>
      </c>
      <c r="E61" s="521" t="s">
        <v>239</v>
      </c>
      <c r="F61" s="522" t="s">
        <v>245</v>
      </c>
      <c r="G61" s="529" t="s">
        <v>246</v>
      </c>
      <c r="H61" s="521" t="s">
        <v>130</v>
      </c>
      <c r="I61" s="497">
        <v>8</v>
      </c>
      <c r="J61" s="501">
        <v>8</v>
      </c>
      <c r="K61" s="380">
        <v>6.75</v>
      </c>
      <c r="L61" s="380">
        <v>8</v>
      </c>
      <c r="N61" s="554">
        <v>357.51</v>
      </c>
      <c r="O61" s="555"/>
      <c r="P61" s="554">
        <f t="shared" si="0"/>
        <v>2860.08</v>
      </c>
      <c r="Q61" s="10">
        <f t="shared" si="1"/>
        <v>357.51</v>
      </c>
      <c r="R61" s="10">
        <f t="shared" si="2"/>
        <v>0</v>
      </c>
    </row>
    <row r="62" spans="1:18">
      <c r="A62" s="488">
        <v>4130</v>
      </c>
      <c r="B62" s="205" t="s">
        <v>298</v>
      </c>
      <c r="C62" s="205" t="s">
        <v>188</v>
      </c>
      <c r="D62" s="205" t="s">
        <v>187</v>
      </c>
      <c r="E62" s="490" t="s">
        <v>239</v>
      </c>
      <c r="F62" s="489" t="s">
        <v>217</v>
      </c>
      <c r="G62" s="491" t="s">
        <v>238</v>
      </c>
      <c r="H62" s="490" t="s">
        <v>130</v>
      </c>
      <c r="I62" s="494">
        <v>10</v>
      </c>
      <c r="J62" s="502">
        <v>15</v>
      </c>
      <c r="K62" s="381">
        <v>8.3333333333333321</v>
      </c>
      <c r="L62" s="381">
        <v>12.916666666666668</v>
      </c>
      <c r="N62" s="554">
        <v>341.46</v>
      </c>
      <c r="O62" s="555"/>
      <c r="P62" s="554">
        <f t="shared" si="0"/>
        <v>4410.53</v>
      </c>
      <c r="Q62" s="10">
        <f t="shared" si="1"/>
        <v>341.46038709677413</v>
      </c>
      <c r="R62" s="10">
        <f t="shared" si="2"/>
        <v>3.8709677414772159E-4</v>
      </c>
    </row>
    <row r="63" spans="1:18">
      <c r="A63" s="516">
        <v>2534</v>
      </c>
      <c r="B63" s="279" t="s">
        <v>299</v>
      </c>
      <c r="C63" s="279" t="s">
        <v>186</v>
      </c>
      <c r="D63" s="279" t="s">
        <v>185</v>
      </c>
      <c r="E63" s="517" t="s">
        <v>239</v>
      </c>
      <c r="F63" s="518" t="s">
        <v>242</v>
      </c>
      <c r="G63" s="519" t="s">
        <v>243</v>
      </c>
      <c r="H63" s="517" t="s">
        <v>141</v>
      </c>
      <c r="I63" s="497">
        <v>8</v>
      </c>
      <c r="J63" s="501">
        <v>8</v>
      </c>
      <c r="K63" s="380">
        <v>8</v>
      </c>
      <c r="L63" s="380">
        <v>8</v>
      </c>
      <c r="N63" s="554">
        <v>375.90999999999997</v>
      </c>
      <c r="O63" s="555"/>
      <c r="P63" s="554">
        <f t="shared" si="0"/>
        <v>3007.28</v>
      </c>
      <c r="Q63" s="10">
        <f t="shared" si="1"/>
        <v>375.91</v>
      </c>
      <c r="R63" s="10">
        <f t="shared" si="2"/>
        <v>5.6843418860808015E-14</v>
      </c>
    </row>
    <row r="64" spans="1:18">
      <c r="A64" s="516">
        <v>2534</v>
      </c>
      <c r="B64" s="279" t="s">
        <v>299</v>
      </c>
      <c r="C64" s="279" t="s">
        <v>186</v>
      </c>
      <c r="D64" s="279" t="s">
        <v>185</v>
      </c>
      <c r="E64" s="517" t="s">
        <v>239</v>
      </c>
      <c r="F64" s="518" t="s">
        <v>242</v>
      </c>
      <c r="G64" s="519" t="s">
        <v>243</v>
      </c>
      <c r="H64" s="517" t="s">
        <v>142</v>
      </c>
      <c r="I64" s="497">
        <v>15</v>
      </c>
      <c r="J64" s="501">
        <v>15</v>
      </c>
      <c r="K64" s="380">
        <v>15</v>
      </c>
      <c r="L64" s="380">
        <v>15</v>
      </c>
      <c r="N64" s="554">
        <v>375.90999999999997</v>
      </c>
      <c r="O64" s="555"/>
      <c r="P64" s="554">
        <f t="shared" si="0"/>
        <v>5638.65</v>
      </c>
      <c r="Q64" s="10" t="str">
        <f t="shared" si="1"/>
        <v/>
      </c>
      <c r="R64" s="10" t="str">
        <f t="shared" si="2"/>
        <v/>
      </c>
    </row>
    <row r="65" spans="1:18">
      <c r="A65" s="520">
        <v>4133</v>
      </c>
      <c r="B65" s="447" t="s">
        <v>300</v>
      </c>
      <c r="C65" s="447" t="s">
        <v>186</v>
      </c>
      <c r="D65" s="447" t="s">
        <v>187</v>
      </c>
      <c r="E65" s="521" t="s">
        <v>239</v>
      </c>
      <c r="F65" s="522" t="s">
        <v>217</v>
      </c>
      <c r="G65" s="529" t="s">
        <v>238</v>
      </c>
      <c r="H65" s="521" t="s">
        <v>221</v>
      </c>
      <c r="I65" s="497">
        <v>15</v>
      </c>
      <c r="J65" s="501">
        <v>15</v>
      </c>
      <c r="K65" s="380">
        <v>15</v>
      </c>
      <c r="L65" s="380">
        <v>15</v>
      </c>
      <c r="N65" s="554">
        <v>559.75</v>
      </c>
      <c r="O65" s="555"/>
      <c r="P65" s="554">
        <f t="shared" si="0"/>
        <v>8396.25</v>
      </c>
      <c r="Q65" s="10">
        <f t="shared" si="1"/>
        <v>559.75</v>
      </c>
      <c r="R65" s="10">
        <f t="shared" si="2"/>
        <v>0</v>
      </c>
    </row>
    <row r="66" spans="1:18">
      <c r="A66" s="520">
        <v>2310</v>
      </c>
      <c r="B66" s="448" t="s">
        <v>301</v>
      </c>
      <c r="C66" s="447" t="s">
        <v>186</v>
      </c>
      <c r="D66" s="447" t="s">
        <v>185</v>
      </c>
      <c r="E66" s="521" t="s">
        <v>251</v>
      </c>
      <c r="F66" s="522" t="s">
        <v>212</v>
      </c>
      <c r="G66" s="529" t="s">
        <v>258</v>
      </c>
      <c r="H66" s="521" t="s">
        <v>141</v>
      </c>
      <c r="I66" s="497">
        <v>0</v>
      </c>
      <c r="J66" s="501">
        <v>0</v>
      </c>
      <c r="K66" s="380">
        <v>0</v>
      </c>
      <c r="L66" s="380">
        <v>0</v>
      </c>
      <c r="N66" s="554" t="s">
        <v>254</v>
      </c>
      <c r="O66" s="555">
        <v>0</v>
      </c>
      <c r="P66" s="554">
        <f t="shared" si="0"/>
        <v>0</v>
      </c>
      <c r="Q66" s="10">
        <f t="shared" si="1"/>
        <v>0</v>
      </c>
      <c r="R66" s="10" t="e">
        <f t="shared" si="2"/>
        <v>#VALUE!</v>
      </c>
    </row>
    <row r="67" spans="1:18" ht="30">
      <c r="A67" s="520">
        <v>2266</v>
      </c>
      <c r="B67" s="448" t="s">
        <v>302</v>
      </c>
      <c r="C67" s="447" t="s">
        <v>186</v>
      </c>
      <c r="D67" s="447" t="s">
        <v>185</v>
      </c>
      <c r="E67" s="521" t="s">
        <v>253</v>
      </c>
      <c r="F67" s="522" t="s">
        <v>212</v>
      </c>
      <c r="G67" s="529" t="s">
        <v>246</v>
      </c>
      <c r="H67" s="521" t="s">
        <v>141</v>
      </c>
      <c r="I67" s="497">
        <v>0</v>
      </c>
      <c r="J67" s="596">
        <v>6</v>
      </c>
      <c r="K67" s="380">
        <v>0</v>
      </c>
      <c r="L67" s="597">
        <v>3.5</v>
      </c>
      <c r="N67" s="554" t="s">
        <v>254</v>
      </c>
      <c r="O67" s="599">
        <v>537.88</v>
      </c>
      <c r="P67" s="554">
        <f t="shared" si="0"/>
        <v>1882.58</v>
      </c>
      <c r="Q67" s="10">
        <f t="shared" si="1"/>
        <v>537.88</v>
      </c>
      <c r="R67" s="10" t="e">
        <f t="shared" si="2"/>
        <v>#VALUE!</v>
      </c>
    </row>
    <row r="68" spans="1:18">
      <c r="A68" s="488">
        <v>4511</v>
      </c>
      <c r="B68" s="205" t="s">
        <v>303</v>
      </c>
      <c r="C68" s="205" t="s">
        <v>188</v>
      </c>
      <c r="D68" s="205" t="s">
        <v>187</v>
      </c>
      <c r="E68" s="490" t="s">
        <v>239</v>
      </c>
      <c r="F68" s="489" t="s">
        <v>217</v>
      </c>
      <c r="G68" s="491" t="s">
        <v>238</v>
      </c>
      <c r="H68" s="490" t="s">
        <v>141</v>
      </c>
      <c r="I68" s="494">
        <v>12</v>
      </c>
      <c r="J68" s="502">
        <v>15</v>
      </c>
      <c r="K68" s="381">
        <v>12</v>
      </c>
      <c r="L68" s="381">
        <v>13.75</v>
      </c>
      <c r="N68" s="554">
        <v>510.75</v>
      </c>
      <c r="O68" s="555"/>
      <c r="P68" s="554">
        <f t="shared" ref="P68:P97" si="3">ROUND(IF(O68&lt;&gt;"",O68*L68,N68*L68),2)</f>
        <v>7022.81</v>
      </c>
      <c r="Q68" s="10">
        <f t="shared" ref="Q68:Q97" si="4">IF(A68=A67,"",IFERROR(SUMIF(A:A,A68,P:P)/SUMIF(A:A,A68,L:L),0))</f>
        <v>510.74981818181823</v>
      </c>
      <c r="R68" s="10">
        <f t="shared" ref="R68:R97" si="5">IF(Q68="","",Q68-N68)</f>
        <v>-1.8181818177254172E-4</v>
      </c>
    </row>
    <row r="69" spans="1:18">
      <c r="A69" s="520">
        <v>2377</v>
      </c>
      <c r="B69" s="447" t="s">
        <v>304</v>
      </c>
      <c r="C69" s="447" t="s">
        <v>186</v>
      </c>
      <c r="D69" s="447" t="s">
        <v>185</v>
      </c>
      <c r="E69" s="521" t="s">
        <v>239</v>
      </c>
      <c r="F69" s="522" t="s">
        <v>245</v>
      </c>
      <c r="G69" s="529" t="s">
        <v>246</v>
      </c>
      <c r="H69" s="521" t="s">
        <v>143</v>
      </c>
      <c r="I69" s="497">
        <v>10</v>
      </c>
      <c r="J69" s="501">
        <v>10</v>
      </c>
      <c r="K69" s="380">
        <v>10</v>
      </c>
      <c r="L69" s="380">
        <v>10</v>
      </c>
      <c r="N69" s="554">
        <v>236.85</v>
      </c>
      <c r="O69" s="555"/>
      <c r="P69" s="554">
        <f t="shared" si="3"/>
        <v>2368.5</v>
      </c>
      <c r="Q69" s="10">
        <f t="shared" si="4"/>
        <v>236.85</v>
      </c>
      <c r="R69" s="10">
        <f t="shared" si="5"/>
        <v>0</v>
      </c>
    </row>
    <row r="70" spans="1:18">
      <c r="A70" s="520">
        <v>2531</v>
      </c>
      <c r="B70" s="447" t="s">
        <v>305</v>
      </c>
      <c r="C70" s="447" t="s">
        <v>186</v>
      </c>
      <c r="D70" s="447" t="s">
        <v>185</v>
      </c>
      <c r="E70" s="521" t="s">
        <v>239</v>
      </c>
      <c r="F70" s="522" t="s">
        <v>245</v>
      </c>
      <c r="G70" s="529" t="s">
        <v>246</v>
      </c>
      <c r="H70" s="521" t="s">
        <v>143</v>
      </c>
      <c r="I70" s="497">
        <v>20</v>
      </c>
      <c r="J70" s="501">
        <v>20</v>
      </c>
      <c r="K70" s="380">
        <v>20</v>
      </c>
      <c r="L70" s="380">
        <v>20</v>
      </c>
      <c r="N70" s="554">
        <v>236.85</v>
      </c>
      <c r="O70" s="555"/>
      <c r="P70" s="554">
        <f t="shared" si="3"/>
        <v>4737</v>
      </c>
      <c r="Q70" s="10">
        <f t="shared" si="4"/>
        <v>236.85</v>
      </c>
      <c r="R70" s="10">
        <f t="shared" si="5"/>
        <v>0</v>
      </c>
    </row>
    <row r="71" spans="1:18">
      <c r="A71" s="516">
        <v>2228</v>
      </c>
      <c r="B71" s="279" t="s">
        <v>306</v>
      </c>
      <c r="C71" s="279" t="s">
        <v>186</v>
      </c>
      <c r="D71" s="279" t="s">
        <v>185</v>
      </c>
      <c r="E71" s="517" t="s">
        <v>239</v>
      </c>
      <c r="F71" s="518" t="s">
        <v>242</v>
      </c>
      <c r="G71" s="519" t="s">
        <v>307</v>
      </c>
      <c r="H71" s="517" t="s">
        <v>143</v>
      </c>
      <c r="I71" s="497">
        <v>9</v>
      </c>
      <c r="J71" s="501">
        <v>9</v>
      </c>
      <c r="K71" s="380">
        <v>9</v>
      </c>
      <c r="L71" s="380">
        <v>9</v>
      </c>
      <c r="N71" s="554">
        <v>338.38</v>
      </c>
      <c r="O71" s="555"/>
      <c r="P71" s="554">
        <f t="shared" si="3"/>
        <v>3045.42</v>
      </c>
      <c r="Q71" s="10">
        <f t="shared" si="4"/>
        <v>338.38</v>
      </c>
      <c r="R71" s="10">
        <f t="shared" si="5"/>
        <v>0</v>
      </c>
    </row>
    <row r="72" spans="1:18">
      <c r="A72" s="516">
        <v>2228</v>
      </c>
      <c r="B72" s="279" t="s">
        <v>306</v>
      </c>
      <c r="C72" s="279" t="s">
        <v>186</v>
      </c>
      <c r="D72" s="279" t="s">
        <v>185</v>
      </c>
      <c r="E72" s="517" t="s">
        <v>239</v>
      </c>
      <c r="F72" s="518" t="s">
        <v>242</v>
      </c>
      <c r="G72" s="519" t="s">
        <v>307</v>
      </c>
      <c r="H72" s="517" t="s">
        <v>142</v>
      </c>
      <c r="I72" s="497">
        <v>13</v>
      </c>
      <c r="J72" s="501">
        <v>13</v>
      </c>
      <c r="K72" s="380">
        <v>13</v>
      </c>
      <c r="L72" s="380">
        <v>13</v>
      </c>
      <c r="N72" s="554">
        <v>338.38</v>
      </c>
      <c r="O72" s="555"/>
      <c r="P72" s="554">
        <f t="shared" si="3"/>
        <v>4398.9399999999996</v>
      </c>
      <c r="Q72" s="10" t="str">
        <f t="shared" si="4"/>
        <v/>
      </c>
      <c r="R72" s="10" t="str">
        <f t="shared" si="5"/>
        <v/>
      </c>
    </row>
    <row r="73" spans="1:18">
      <c r="A73" s="516">
        <v>2013</v>
      </c>
      <c r="B73" s="279" t="s">
        <v>308</v>
      </c>
      <c r="C73" s="279" t="s">
        <v>186</v>
      </c>
      <c r="D73" s="279" t="s">
        <v>185</v>
      </c>
      <c r="E73" s="517" t="s">
        <v>239</v>
      </c>
      <c r="F73" s="518" t="s">
        <v>245</v>
      </c>
      <c r="G73" s="519" t="s">
        <v>246</v>
      </c>
      <c r="H73" s="517" t="s">
        <v>143</v>
      </c>
      <c r="I73" s="497">
        <v>12</v>
      </c>
      <c r="J73" s="501">
        <v>12</v>
      </c>
      <c r="K73" s="380">
        <v>12</v>
      </c>
      <c r="L73" s="380">
        <v>12</v>
      </c>
      <c r="N73" s="554">
        <v>337.15999999999997</v>
      </c>
      <c r="O73" s="555"/>
      <c r="P73" s="554">
        <f t="shared" si="3"/>
        <v>4045.92</v>
      </c>
      <c r="Q73" s="10">
        <f t="shared" si="4"/>
        <v>337.15999999999997</v>
      </c>
      <c r="R73" s="10">
        <f t="shared" si="5"/>
        <v>0</v>
      </c>
    </row>
    <row r="74" spans="1:18">
      <c r="A74" s="516">
        <v>2013</v>
      </c>
      <c r="B74" s="279" t="s">
        <v>308</v>
      </c>
      <c r="C74" s="279" t="s">
        <v>186</v>
      </c>
      <c r="D74" s="279" t="s">
        <v>185</v>
      </c>
      <c r="E74" s="517" t="s">
        <v>239</v>
      </c>
      <c r="F74" s="518" t="s">
        <v>245</v>
      </c>
      <c r="G74" s="519" t="s">
        <v>246</v>
      </c>
      <c r="H74" s="517" t="s">
        <v>142</v>
      </c>
      <c r="I74" s="497">
        <v>16</v>
      </c>
      <c r="J74" s="501">
        <v>16</v>
      </c>
      <c r="K74" s="380">
        <v>16</v>
      </c>
      <c r="L74" s="380">
        <v>16</v>
      </c>
      <c r="N74" s="554">
        <v>337.15999999999997</v>
      </c>
      <c r="O74" s="555"/>
      <c r="P74" s="554">
        <f t="shared" si="3"/>
        <v>5394.56</v>
      </c>
      <c r="Q74" s="10" t="str">
        <f t="shared" si="4"/>
        <v/>
      </c>
      <c r="R74" s="10" t="str">
        <f t="shared" si="5"/>
        <v/>
      </c>
    </row>
    <row r="75" spans="1:18">
      <c r="A75" s="520">
        <v>3404</v>
      </c>
      <c r="B75" s="447" t="s">
        <v>309</v>
      </c>
      <c r="C75" s="447" t="s">
        <v>186</v>
      </c>
      <c r="D75" s="447" t="s">
        <v>185</v>
      </c>
      <c r="E75" s="521" t="s">
        <v>239</v>
      </c>
      <c r="F75" s="522" t="s">
        <v>212</v>
      </c>
      <c r="G75" s="529" t="s">
        <v>310</v>
      </c>
      <c r="H75" s="521" t="s">
        <v>215</v>
      </c>
      <c r="I75" s="497">
        <v>6</v>
      </c>
      <c r="J75" s="501">
        <v>6</v>
      </c>
      <c r="K75" s="380">
        <v>6</v>
      </c>
      <c r="L75" s="380">
        <v>6</v>
      </c>
      <c r="N75" s="554">
        <v>729.17</v>
      </c>
      <c r="O75" s="555"/>
      <c r="P75" s="554">
        <f t="shared" si="3"/>
        <v>4375.0200000000004</v>
      </c>
      <c r="Q75" s="10">
        <f t="shared" si="4"/>
        <v>729.17000000000007</v>
      </c>
      <c r="R75" s="10">
        <f t="shared" si="5"/>
        <v>1.1368683772161603E-13</v>
      </c>
    </row>
    <row r="76" spans="1:18">
      <c r="A76" s="520">
        <v>3665</v>
      </c>
      <c r="B76" s="447" t="s">
        <v>311</v>
      </c>
      <c r="C76" s="447" t="s">
        <v>186</v>
      </c>
      <c r="D76" s="447" t="s">
        <v>185</v>
      </c>
      <c r="E76" s="521" t="s">
        <v>239</v>
      </c>
      <c r="F76" s="522" t="s">
        <v>212</v>
      </c>
      <c r="G76" s="529" t="s">
        <v>249</v>
      </c>
      <c r="H76" s="521" t="s">
        <v>130</v>
      </c>
      <c r="I76" s="497">
        <v>7</v>
      </c>
      <c r="J76" s="501">
        <v>7</v>
      </c>
      <c r="K76" s="380">
        <v>7</v>
      </c>
      <c r="L76" s="380">
        <v>7</v>
      </c>
      <c r="N76" s="554">
        <v>357.51</v>
      </c>
      <c r="O76" s="555"/>
      <c r="P76" s="554">
        <f t="shared" si="3"/>
        <v>2502.5700000000002</v>
      </c>
      <c r="Q76" s="10">
        <f t="shared" si="4"/>
        <v>357.51000000000005</v>
      </c>
      <c r="R76" s="10">
        <f t="shared" si="5"/>
        <v>5.6843418860808015E-14</v>
      </c>
    </row>
    <row r="77" spans="1:18" ht="30">
      <c r="A77" s="488">
        <v>2072</v>
      </c>
      <c r="B77" s="448" t="s">
        <v>312</v>
      </c>
      <c r="C77" s="205" t="s">
        <v>188</v>
      </c>
      <c r="D77" s="205" t="s">
        <v>185</v>
      </c>
      <c r="E77" s="490" t="s">
        <v>253</v>
      </c>
      <c r="F77" s="489" t="s">
        <v>212</v>
      </c>
      <c r="G77" s="491" t="s">
        <v>249</v>
      </c>
      <c r="H77" s="490" t="s">
        <v>130</v>
      </c>
      <c r="I77" s="495">
        <v>0</v>
      </c>
      <c r="J77" s="502">
        <v>4</v>
      </c>
      <c r="K77" s="381">
        <v>0</v>
      </c>
      <c r="L77" s="381">
        <v>2.3333333333333335</v>
      </c>
      <c r="N77" s="554" t="s">
        <v>254</v>
      </c>
      <c r="O77" s="555">
        <v>357.51</v>
      </c>
      <c r="P77" s="554">
        <f t="shared" si="3"/>
        <v>834.19</v>
      </c>
      <c r="Q77" s="10">
        <f t="shared" si="4"/>
        <v>357.51</v>
      </c>
      <c r="R77" s="10" t="e">
        <f t="shared" si="5"/>
        <v>#VALUE!</v>
      </c>
    </row>
    <row r="78" spans="1:18" ht="30">
      <c r="A78" s="520">
        <v>2206</v>
      </c>
      <c r="B78" s="448" t="s">
        <v>313</v>
      </c>
      <c r="C78" s="447" t="s">
        <v>186</v>
      </c>
      <c r="D78" s="447" t="s">
        <v>185</v>
      </c>
      <c r="E78" s="521" t="s">
        <v>253</v>
      </c>
      <c r="F78" s="522" t="s">
        <v>212</v>
      </c>
      <c r="G78" s="529" t="s">
        <v>249</v>
      </c>
      <c r="H78" s="521" t="s">
        <v>130</v>
      </c>
      <c r="I78" s="499">
        <v>0</v>
      </c>
      <c r="J78" s="596">
        <v>5</v>
      </c>
      <c r="K78" s="380">
        <v>0</v>
      </c>
      <c r="L78" s="597">
        <v>2.9166666666666665</v>
      </c>
      <c r="N78" s="554" t="s">
        <v>254</v>
      </c>
      <c r="O78" s="599">
        <v>357.51</v>
      </c>
      <c r="P78" s="554">
        <f t="shared" si="3"/>
        <v>1042.74</v>
      </c>
      <c r="Q78" s="10">
        <f t="shared" si="4"/>
        <v>357.51085714285716</v>
      </c>
      <c r="R78" s="10" t="e">
        <f t="shared" si="5"/>
        <v>#VALUE!</v>
      </c>
    </row>
    <row r="79" spans="1:18">
      <c r="A79" s="520">
        <v>2018</v>
      </c>
      <c r="B79" s="447" t="s">
        <v>314</v>
      </c>
      <c r="C79" s="447" t="s">
        <v>186</v>
      </c>
      <c r="D79" s="447" t="s">
        <v>185</v>
      </c>
      <c r="E79" s="521" t="s">
        <v>239</v>
      </c>
      <c r="F79" s="522" t="s">
        <v>242</v>
      </c>
      <c r="G79" s="529" t="s">
        <v>258</v>
      </c>
      <c r="H79" s="521" t="s">
        <v>142</v>
      </c>
      <c r="I79" s="497">
        <v>14</v>
      </c>
      <c r="J79" s="501">
        <v>14</v>
      </c>
      <c r="K79" s="380">
        <v>14</v>
      </c>
      <c r="L79" s="380">
        <v>14</v>
      </c>
      <c r="N79" s="554">
        <v>353.88</v>
      </c>
      <c r="O79" s="555"/>
      <c r="P79" s="554">
        <f t="shared" si="3"/>
        <v>4954.32</v>
      </c>
      <c r="Q79" s="10">
        <f t="shared" si="4"/>
        <v>353.88</v>
      </c>
      <c r="R79" s="10">
        <f t="shared" si="5"/>
        <v>0</v>
      </c>
    </row>
    <row r="80" spans="1:18">
      <c r="A80" s="488">
        <v>2045</v>
      </c>
      <c r="B80" s="205" t="s">
        <v>315</v>
      </c>
      <c r="C80" s="205" t="s">
        <v>188</v>
      </c>
      <c r="D80" s="205" t="s">
        <v>185</v>
      </c>
      <c r="E80" s="490" t="s">
        <v>239</v>
      </c>
      <c r="F80" s="489" t="s">
        <v>212</v>
      </c>
      <c r="G80" s="491" t="s">
        <v>249</v>
      </c>
      <c r="H80" s="490" t="s">
        <v>130</v>
      </c>
      <c r="I80" s="494">
        <v>6</v>
      </c>
      <c r="J80" s="502">
        <v>9</v>
      </c>
      <c r="K80" s="381">
        <v>3.5</v>
      </c>
      <c r="L80" s="381">
        <v>7.75</v>
      </c>
      <c r="N80" s="554">
        <v>357.51</v>
      </c>
      <c r="O80" s="555"/>
      <c r="P80" s="554">
        <f t="shared" si="3"/>
        <v>2770.7</v>
      </c>
      <c r="Q80" s="10">
        <f t="shared" si="4"/>
        <v>357.50967741935483</v>
      </c>
      <c r="R80" s="10">
        <f t="shared" si="5"/>
        <v>-3.2258064516099694E-4</v>
      </c>
    </row>
    <row r="81" spans="1:18">
      <c r="A81" s="520">
        <v>2190</v>
      </c>
      <c r="B81" s="448" t="s">
        <v>316</v>
      </c>
      <c r="C81" s="447" t="s">
        <v>186</v>
      </c>
      <c r="D81" s="447" t="s">
        <v>185</v>
      </c>
      <c r="E81" s="521" t="s">
        <v>251</v>
      </c>
      <c r="F81" s="522" t="s">
        <v>212</v>
      </c>
      <c r="G81" s="529" t="s">
        <v>249</v>
      </c>
      <c r="H81" s="521" t="s">
        <v>130</v>
      </c>
      <c r="I81" s="497">
        <v>0</v>
      </c>
      <c r="J81" s="501">
        <v>0</v>
      </c>
      <c r="K81" s="380">
        <v>0</v>
      </c>
      <c r="L81" s="380">
        <v>0</v>
      </c>
      <c r="N81" s="554" t="s">
        <v>254</v>
      </c>
      <c r="O81" s="555">
        <v>0</v>
      </c>
      <c r="P81" s="554">
        <f t="shared" si="3"/>
        <v>0</v>
      </c>
      <c r="Q81" s="10">
        <f t="shared" si="4"/>
        <v>0</v>
      </c>
      <c r="R81" s="10" t="e">
        <f t="shared" si="5"/>
        <v>#VALUE!</v>
      </c>
    </row>
    <row r="82" spans="1:18" ht="30">
      <c r="A82" s="488">
        <v>5406</v>
      </c>
      <c r="B82" s="448" t="s">
        <v>317</v>
      </c>
      <c r="C82" s="205" t="s">
        <v>188</v>
      </c>
      <c r="D82" s="205" t="s">
        <v>187</v>
      </c>
      <c r="E82" s="490" t="s">
        <v>253</v>
      </c>
      <c r="F82" s="489" t="s">
        <v>217</v>
      </c>
      <c r="G82" s="491" t="s">
        <v>238</v>
      </c>
      <c r="H82" s="490" t="s">
        <v>141</v>
      </c>
      <c r="I82" s="495">
        <v>0</v>
      </c>
      <c r="J82" s="502">
        <v>0</v>
      </c>
      <c r="K82" s="509">
        <v>0</v>
      </c>
      <c r="L82" s="509">
        <v>0</v>
      </c>
      <c r="N82" s="554" t="s">
        <v>254</v>
      </c>
      <c r="O82" s="555">
        <v>0</v>
      </c>
      <c r="P82" s="554">
        <f t="shared" si="3"/>
        <v>0</v>
      </c>
      <c r="Q82" s="10">
        <f t="shared" si="4"/>
        <v>0</v>
      </c>
      <c r="R82" s="10" t="e">
        <f t="shared" si="5"/>
        <v>#VALUE!</v>
      </c>
    </row>
    <row r="83" spans="1:18">
      <c r="A83" s="488">
        <v>4308</v>
      </c>
      <c r="B83" s="205" t="s">
        <v>318</v>
      </c>
      <c r="C83" s="205" t="s">
        <v>188</v>
      </c>
      <c r="D83" s="205" t="s">
        <v>187</v>
      </c>
      <c r="E83" s="490" t="s">
        <v>239</v>
      </c>
      <c r="F83" s="489" t="s">
        <v>217</v>
      </c>
      <c r="G83" s="491" t="s">
        <v>238</v>
      </c>
      <c r="H83" s="490" t="s">
        <v>215</v>
      </c>
      <c r="I83" s="494">
        <v>6</v>
      </c>
      <c r="J83" s="502">
        <v>6</v>
      </c>
      <c r="K83" s="381">
        <v>6</v>
      </c>
      <c r="L83" s="381">
        <v>6</v>
      </c>
      <c r="N83" s="554">
        <v>634.36</v>
      </c>
      <c r="O83" s="555"/>
      <c r="P83" s="554">
        <f t="shared" si="3"/>
        <v>3806.16</v>
      </c>
      <c r="Q83" s="10">
        <f t="shared" si="4"/>
        <v>634.36</v>
      </c>
      <c r="R83" s="10">
        <f t="shared" si="5"/>
        <v>0</v>
      </c>
    </row>
    <row r="84" spans="1:18" ht="30">
      <c r="A84" s="520">
        <v>4119</v>
      </c>
      <c r="B84" s="448" t="s">
        <v>319</v>
      </c>
      <c r="C84" s="447" t="s">
        <v>186</v>
      </c>
      <c r="D84" s="447" t="s">
        <v>187</v>
      </c>
      <c r="E84" s="521" t="s">
        <v>253</v>
      </c>
      <c r="F84" s="522" t="s">
        <v>217</v>
      </c>
      <c r="G84" s="529" t="s">
        <v>238</v>
      </c>
      <c r="H84" s="521" t="s">
        <v>141</v>
      </c>
      <c r="I84" s="497">
        <v>0</v>
      </c>
      <c r="J84" s="501">
        <v>7</v>
      </c>
      <c r="K84" s="380">
        <v>0</v>
      </c>
      <c r="L84" s="508">
        <v>4.083333333333333</v>
      </c>
      <c r="N84" s="554" t="s">
        <v>254</v>
      </c>
      <c r="O84" s="555">
        <v>510.75</v>
      </c>
      <c r="P84" s="554">
        <f t="shared" si="3"/>
        <v>2085.56</v>
      </c>
      <c r="Q84" s="10">
        <f t="shared" si="4"/>
        <v>510.74938775510208</v>
      </c>
      <c r="R84" s="10" t="e">
        <f t="shared" si="5"/>
        <v>#VALUE!</v>
      </c>
    </row>
    <row r="85" spans="1:18" ht="30">
      <c r="A85" s="488">
        <v>4005</v>
      </c>
      <c r="B85" s="448" t="s">
        <v>320</v>
      </c>
      <c r="C85" s="205" t="s">
        <v>188</v>
      </c>
      <c r="D85" s="205" t="s">
        <v>187</v>
      </c>
      <c r="E85" s="490" t="s">
        <v>253</v>
      </c>
      <c r="F85" s="489" t="s">
        <v>217</v>
      </c>
      <c r="G85" s="491" t="s">
        <v>238</v>
      </c>
      <c r="H85" s="490" t="s">
        <v>130</v>
      </c>
      <c r="I85" s="494">
        <v>0</v>
      </c>
      <c r="J85" s="502">
        <v>7</v>
      </c>
      <c r="K85" s="381">
        <v>0</v>
      </c>
      <c r="L85" s="381">
        <v>4.083333333333333</v>
      </c>
      <c r="N85" s="554" t="s">
        <v>254</v>
      </c>
      <c r="O85" s="555">
        <v>341.46</v>
      </c>
      <c r="P85" s="554">
        <f t="shared" si="3"/>
        <v>1394.3</v>
      </c>
      <c r="Q85" s="10">
        <f t="shared" si="4"/>
        <v>341.46122448979594</v>
      </c>
      <c r="R85" s="10" t="e">
        <f t="shared" si="5"/>
        <v>#VALUE!</v>
      </c>
    </row>
    <row r="86" spans="1:18">
      <c r="A86" s="488">
        <v>4143</v>
      </c>
      <c r="B86" s="205" t="s">
        <v>321</v>
      </c>
      <c r="C86" s="205" t="s">
        <v>188</v>
      </c>
      <c r="D86" s="205" t="s">
        <v>187</v>
      </c>
      <c r="E86" s="490" t="s">
        <v>239</v>
      </c>
      <c r="F86" s="489" t="s">
        <v>217</v>
      </c>
      <c r="G86" s="491" t="s">
        <v>238</v>
      </c>
      <c r="H86" s="490" t="s">
        <v>141</v>
      </c>
      <c r="I86" s="494">
        <v>12</v>
      </c>
      <c r="J86" s="502">
        <v>12</v>
      </c>
      <c r="K86" s="381">
        <v>12</v>
      </c>
      <c r="L86" s="381">
        <v>12</v>
      </c>
      <c r="N86" s="554">
        <v>510.75</v>
      </c>
      <c r="O86" s="555"/>
      <c r="P86" s="554">
        <f t="shared" si="3"/>
        <v>6129</v>
      </c>
      <c r="Q86" s="10">
        <f t="shared" si="4"/>
        <v>510.75</v>
      </c>
      <c r="R86" s="10">
        <f t="shared" si="5"/>
        <v>0</v>
      </c>
    </row>
    <row r="87" spans="1:18">
      <c r="A87" s="520">
        <v>4113</v>
      </c>
      <c r="B87" s="447" t="s">
        <v>322</v>
      </c>
      <c r="C87" s="447" t="s">
        <v>186</v>
      </c>
      <c r="D87" s="447" t="s">
        <v>187</v>
      </c>
      <c r="E87" s="521" t="s">
        <v>239</v>
      </c>
      <c r="F87" s="522" t="s">
        <v>217</v>
      </c>
      <c r="G87" s="529" t="s">
        <v>238</v>
      </c>
      <c r="H87" s="521" t="s">
        <v>214</v>
      </c>
      <c r="I87" s="497">
        <v>20</v>
      </c>
      <c r="J87" s="501">
        <v>15</v>
      </c>
      <c r="K87" s="380">
        <v>19.583333333333332</v>
      </c>
      <c r="L87" s="380">
        <v>17.083333333333336</v>
      </c>
      <c r="N87" s="554">
        <v>641.04</v>
      </c>
      <c r="O87" s="555"/>
      <c r="P87" s="554">
        <f t="shared" si="3"/>
        <v>10951.1</v>
      </c>
      <c r="Q87" s="10">
        <f t="shared" si="4"/>
        <v>641.04</v>
      </c>
      <c r="R87" s="10">
        <f t="shared" si="5"/>
        <v>0</v>
      </c>
    </row>
    <row r="88" spans="1:18">
      <c r="A88" s="520">
        <v>4180</v>
      </c>
      <c r="B88" s="447" t="s">
        <v>323</v>
      </c>
      <c r="C88" s="447" t="s">
        <v>186</v>
      </c>
      <c r="D88" s="447" t="s">
        <v>187</v>
      </c>
      <c r="E88" s="521" t="s">
        <v>239</v>
      </c>
      <c r="F88" s="522" t="s">
        <v>217</v>
      </c>
      <c r="G88" s="529" t="s">
        <v>238</v>
      </c>
      <c r="H88" s="521" t="s">
        <v>142</v>
      </c>
      <c r="I88" s="497">
        <v>12</v>
      </c>
      <c r="J88" s="501">
        <v>12</v>
      </c>
      <c r="K88" s="380">
        <v>12</v>
      </c>
      <c r="L88" s="380">
        <v>12</v>
      </c>
      <c r="N88" s="554">
        <v>350.48</v>
      </c>
      <c r="O88" s="555"/>
      <c r="P88" s="554">
        <f t="shared" si="3"/>
        <v>4205.76</v>
      </c>
      <c r="Q88" s="10">
        <f t="shared" si="4"/>
        <v>350.48</v>
      </c>
      <c r="R88" s="10">
        <f t="shared" si="5"/>
        <v>0</v>
      </c>
    </row>
    <row r="89" spans="1:18" ht="30">
      <c r="A89" s="516">
        <v>4206</v>
      </c>
      <c r="B89" s="448" t="s">
        <v>324</v>
      </c>
      <c r="C89" s="279" t="s">
        <v>186</v>
      </c>
      <c r="D89" s="279" t="s">
        <v>187</v>
      </c>
      <c r="E89" s="517" t="s">
        <v>237</v>
      </c>
      <c r="F89" s="518" t="s">
        <v>217</v>
      </c>
      <c r="G89" s="519" t="s">
        <v>238</v>
      </c>
      <c r="H89" s="517" t="s">
        <v>130</v>
      </c>
      <c r="I89" s="499">
        <v>0</v>
      </c>
      <c r="J89" s="501">
        <v>10</v>
      </c>
      <c r="K89" s="508">
        <v>0</v>
      </c>
      <c r="L89" s="508">
        <v>5.833333333333333</v>
      </c>
      <c r="N89" s="554">
        <v>229.81</v>
      </c>
      <c r="O89" s="555">
        <v>341.46</v>
      </c>
      <c r="P89" s="554">
        <f t="shared" si="3"/>
        <v>1991.85</v>
      </c>
      <c r="Q89" s="10">
        <f t="shared" si="4"/>
        <v>265.3352727272727</v>
      </c>
      <c r="R89" s="10">
        <f t="shared" si="5"/>
        <v>35.525272727272693</v>
      </c>
    </row>
    <row r="90" spans="1:18">
      <c r="A90" s="516">
        <v>4206</v>
      </c>
      <c r="B90" s="279" t="s">
        <v>324</v>
      </c>
      <c r="C90" s="279" t="s">
        <v>186</v>
      </c>
      <c r="D90" s="279" t="s">
        <v>187</v>
      </c>
      <c r="E90" s="517" t="s">
        <v>239</v>
      </c>
      <c r="F90" s="518" t="s">
        <v>217</v>
      </c>
      <c r="G90" s="519" t="s">
        <v>238</v>
      </c>
      <c r="H90" s="517" t="s">
        <v>240</v>
      </c>
      <c r="I90" s="499">
        <v>16</v>
      </c>
      <c r="J90" s="501">
        <v>10</v>
      </c>
      <c r="K90" s="508">
        <v>17.666666666666668</v>
      </c>
      <c r="L90" s="508">
        <v>12.5</v>
      </c>
      <c r="N90" s="554">
        <v>229.81</v>
      </c>
      <c r="O90" s="555">
        <v>229.81</v>
      </c>
      <c r="P90" s="554">
        <f t="shared" si="3"/>
        <v>2872.63</v>
      </c>
      <c r="Q90" s="10" t="str">
        <f t="shared" si="4"/>
        <v/>
      </c>
      <c r="R90" s="10" t="str">
        <f t="shared" si="5"/>
        <v/>
      </c>
    </row>
    <row r="91" spans="1:18">
      <c r="A91" s="516">
        <v>2111</v>
      </c>
      <c r="B91" s="279" t="s">
        <v>325</v>
      </c>
      <c r="C91" s="279" t="s">
        <v>186</v>
      </c>
      <c r="D91" s="279" t="s">
        <v>185</v>
      </c>
      <c r="E91" s="517" t="s">
        <v>239</v>
      </c>
      <c r="F91" s="518" t="s">
        <v>212</v>
      </c>
      <c r="G91" s="519" t="s">
        <v>249</v>
      </c>
      <c r="H91" s="517" t="s">
        <v>141</v>
      </c>
      <c r="I91" s="499">
        <v>8</v>
      </c>
      <c r="J91" s="501">
        <v>8</v>
      </c>
      <c r="K91" s="508">
        <v>8</v>
      </c>
      <c r="L91" s="508">
        <v>8</v>
      </c>
      <c r="N91" s="554">
        <v>410.08</v>
      </c>
      <c r="O91" s="555"/>
      <c r="P91" s="554">
        <f t="shared" si="3"/>
        <v>3280.64</v>
      </c>
      <c r="Q91" s="10">
        <f t="shared" si="4"/>
        <v>410.08</v>
      </c>
      <c r="R91" s="10">
        <f t="shared" si="5"/>
        <v>0</v>
      </c>
    </row>
    <row r="92" spans="1:18">
      <c r="A92" s="516">
        <v>2111</v>
      </c>
      <c r="B92" s="279" t="s">
        <v>325</v>
      </c>
      <c r="C92" s="279" t="s">
        <v>186</v>
      </c>
      <c r="D92" s="279" t="s">
        <v>185</v>
      </c>
      <c r="E92" s="517" t="s">
        <v>239</v>
      </c>
      <c r="F92" s="518" t="s">
        <v>212</v>
      </c>
      <c r="G92" s="519" t="s">
        <v>249</v>
      </c>
      <c r="H92" s="517" t="s">
        <v>213</v>
      </c>
      <c r="I92" s="497">
        <v>8</v>
      </c>
      <c r="J92" s="501">
        <v>8</v>
      </c>
      <c r="K92" s="380">
        <v>8</v>
      </c>
      <c r="L92" s="380">
        <v>8</v>
      </c>
      <c r="N92" s="554">
        <v>410.08</v>
      </c>
      <c r="O92" s="555"/>
      <c r="P92" s="554">
        <f t="shared" si="3"/>
        <v>3280.64</v>
      </c>
      <c r="Q92" s="10" t="str">
        <f t="shared" si="4"/>
        <v/>
      </c>
      <c r="R92" s="10" t="str">
        <f t="shared" si="5"/>
        <v/>
      </c>
    </row>
    <row r="93" spans="1:18">
      <c r="A93" s="520">
        <v>2103</v>
      </c>
      <c r="B93" s="447" t="s">
        <v>326</v>
      </c>
      <c r="C93" s="447" t="s">
        <v>186</v>
      </c>
      <c r="D93" s="447" t="s">
        <v>185</v>
      </c>
      <c r="E93" s="521" t="s">
        <v>239</v>
      </c>
      <c r="F93" s="522" t="s">
        <v>245</v>
      </c>
      <c r="G93" s="529" t="s">
        <v>249</v>
      </c>
      <c r="H93" s="521" t="s">
        <v>130</v>
      </c>
      <c r="I93" s="497">
        <v>8</v>
      </c>
      <c r="J93" s="501">
        <v>8</v>
      </c>
      <c r="K93" s="380">
        <v>8</v>
      </c>
      <c r="L93" s="380">
        <v>8</v>
      </c>
      <c r="N93" s="554">
        <v>357.51</v>
      </c>
      <c r="O93" s="555"/>
      <c r="P93" s="554">
        <f t="shared" si="3"/>
        <v>2860.08</v>
      </c>
      <c r="Q93" s="10">
        <f t="shared" si="4"/>
        <v>357.51</v>
      </c>
      <c r="R93" s="10">
        <f t="shared" si="5"/>
        <v>0</v>
      </c>
    </row>
    <row r="94" spans="1:18" ht="30">
      <c r="A94" s="520">
        <v>2339</v>
      </c>
      <c r="B94" s="447" t="s">
        <v>327</v>
      </c>
      <c r="C94" s="447" t="s">
        <v>186</v>
      </c>
      <c r="D94" s="447" t="s">
        <v>185</v>
      </c>
      <c r="E94" s="521" t="s">
        <v>237</v>
      </c>
      <c r="F94" s="522" t="s">
        <v>212</v>
      </c>
      <c r="G94" s="523" t="s">
        <v>246</v>
      </c>
      <c r="H94" s="521" t="s">
        <v>141</v>
      </c>
      <c r="I94" s="497">
        <v>6</v>
      </c>
      <c r="J94" s="501">
        <v>9</v>
      </c>
      <c r="K94" s="380">
        <v>3.5</v>
      </c>
      <c r="L94" s="380">
        <v>7.75</v>
      </c>
      <c r="N94" s="554">
        <v>537.88</v>
      </c>
      <c r="O94" s="555"/>
      <c r="P94" s="554">
        <f t="shared" si="3"/>
        <v>4168.57</v>
      </c>
      <c r="Q94" s="10">
        <f t="shared" si="4"/>
        <v>537.88</v>
      </c>
      <c r="R94" s="10">
        <f t="shared" si="5"/>
        <v>0</v>
      </c>
    </row>
    <row r="95" spans="1:18">
      <c r="A95" s="520">
        <v>2220</v>
      </c>
      <c r="B95" s="447" t="s">
        <v>328</v>
      </c>
      <c r="C95" s="447" t="s">
        <v>186</v>
      </c>
      <c r="D95" s="447" t="s">
        <v>185</v>
      </c>
      <c r="E95" s="521" t="s">
        <v>239</v>
      </c>
      <c r="F95" s="522" t="s">
        <v>242</v>
      </c>
      <c r="G95" s="529" t="s">
        <v>249</v>
      </c>
      <c r="H95" s="521" t="s">
        <v>142</v>
      </c>
      <c r="I95" s="497">
        <v>12</v>
      </c>
      <c r="J95" s="501">
        <v>12</v>
      </c>
      <c r="K95" s="380">
        <v>12</v>
      </c>
      <c r="L95" s="380">
        <v>12</v>
      </c>
      <c r="N95" s="554">
        <v>353.88</v>
      </c>
      <c r="O95" s="555"/>
      <c r="P95" s="554">
        <f t="shared" si="3"/>
        <v>4246.5600000000004</v>
      </c>
      <c r="Q95" s="10">
        <f t="shared" si="4"/>
        <v>353.88000000000005</v>
      </c>
      <c r="R95" s="10">
        <f t="shared" si="5"/>
        <v>5.6843418860808015E-14</v>
      </c>
    </row>
    <row r="96" spans="1:18">
      <c r="A96" s="516">
        <v>2057</v>
      </c>
      <c r="B96" s="279" t="s">
        <v>329</v>
      </c>
      <c r="C96" s="279" t="s">
        <v>186</v>
      </c>
      <c r="D96" s="279" t="s">
        <v>185</v>
      </c>
      <c r="E96" s="517" t="s">
        <v>239</v>
      </c>
      <c r="F96" s="518" t="s">
        <v>242</v>
      </c>
      <c r="G96" s="519" t="s">
        <v>258</v>
      </c>
      <c r="H96" s="517" t="s">
        <v>141</v>
      </c>
      <c r="I96" s="589">
        <v>16</v>
      </c>
      <c r="J96" s="501">
        <v>16</v>
      </c>
      <c r="K96" s="380">
        <v>13.083333333333334</v>
      </c>
      <c r="L96" s="380">
        <v>16</v>
      </c>
      <c r="N96" s="554">
        <v>458.09</v>
      </c>
      <c r="O96" s="555"/>
      <c r="P96" s="554">
        <f t="shared" si="3"/>
        <v>7329.44</v>
      </c>
      <c r="Q96" s="10">
        <f t="shared" si="4"/>
        <v>458.09</v>
      </c>
      <c r="R96" s="10">
        <f t="shared" si="5"/>
        <v>0</v>
      </c>
    </row>
    <row r="97" spans="1:18">
      <c r="A97" s="516">
        <v>2057</v>
      </c>
      <c r="B97" s="279" t="s">
        <v>329</v>
      </c>
      <c r="C97" s="279" t="s">
        <v>186</v>
      </c>
      <c r="D97" s="279" t="s">
        <v>185</v>
      </c>
      <c r="E97" s="517" t="s">
        <v>239</v>
      </c>
      <c r="F97" s="518" t="s">
        <v>242</v>
      </c>
      <c r="G97" s="519" t="s">
        <v>258</v>
      </c>
      <c r="H97" s="517" t="s">
        <v>130</v>
      </c>
      <c r="I97" s="497">
        <v>8</v>
      </c>
      <c r="J97" s="501">
        <v>8</v>
      </c>
      <c r="K97" s="380">
        <v>8</v>
      </c>
      <c r="L97" s="380">
        <v>8</v>
      </c>
      <c r="N97" s="554">
        <v>458.09</v>
      </c>
      <c r="O97" s="555"/>
      <c r="P97" s="554">
        <f t="shared" si="3"/>
        <v>3664.72</v>
      </c>
      <c r="Q97" s="10" t="str">
        <f t="shared" si="4"/>
        <v/>
      </c>
      <c r="R97" s="10" t="str">
        <f t="shared" si="5"/>
        <v/>
      </c>
    </row>
    <row r="98" spans="1:18">
      <c r="A98" s="487"/>
      <c r="B98" s="140"/>
      <c r="C98" s="140"/>
      <c r="D98" s="140"/>
      <c r="E98" s="140"/>
      <c r="F98" s="140"/>
      <c r="G98" s="140"/>
      <c r="H98" s="140"/>
      <c r="I98" s="496"/>
      <c r="J98" s="496"/>
      <c r="K98" s="511"/>
      <c r="L98" s="511"/>
      <c r="P98" s="554"/>
    </row>
    <row r="99" spans="1:18">
      <c r="A99" s="492"/>
      <c r="B99" s="493" t="s">
        <v>330</v>
      </c>
      <c r="C99" s="493"/>
      <c r="D99" s="493"/>
      <c r="E99" s="493"/>
      <c r="F99" s="493"/>
      <c r="G99" s="493"/>
      <c r="H99" s="493"/>
      <c r="I99" s="500">
        <f>SUM(I3:I97)</f>
        <v>736</v>
      </c>
      <c r="J99" s="505">
        <f>SUM(J3:J97)</f>
        <v>830</v>
      </c>
      <c r="K99" s="382">
        <f>SUM(K3:K97)</f>
        <v>703.91666666666663</v>
      </c>
      <c r="L99" s="382">
        <f>SUM(L3:L97)</f>
        <v>790.83333333333348</v>
      </c>
    </row>
    <row r="104" spans="1:18">
      <c r="A104" s="488">
        <v>5401</v>
      </c>
      <c r="B104" s="205" t="s">
        <v>331</v>
      </c>
      <c r="C104" s="205" t="s">
        <v>188</v>
      </c>
      <c r="D104" s="205" t="s">
        <v>332</v>
      </c>
      <c r="E104" s="490" t="s">
        <v>333</v>
      </c>
      <c r="F104" s="489" t="s">
        <v>217</v>
      </c>
      <c r="G104" s="491" t="s">
        <v>334</v>
      </c>
      <c r="H104" s="490" t="s">
        <v>335</v>
      </c>
      <c r="I104" s="494">
        <v>0</v>
      </c>
      <c r="J104" s="504">
        <v>0</v>
      </c>
      <c r="K104" s="510">
        <v>0</v>
      </c>
      <c r="L104" s="510">
        <v>0</v>
      </c>
    </row>
    <row r="105" spans="1:18">
      <c r="A105" s="488">
        <v>2024</v>
      </c>
      <c r="B105" s="205" t="s">
        <v>336</v>
      </c>
      <c r="C105" s="205" t="s">
        <v>188</v>
      </c>
      <c r="D105" s="205" t="s">
        <v>185</v>
      </c>
      <c r="E105" s="490" t="s">
        <v>333</v>
      </c>
      <c r="F105" s="489" t="s">
        <v>212</v>
      </c>
      <c r="G105" s="491" t="s">
        <v>249</v>
      </c>
      <c r="H105" s="490" t="s">
        <v>337</v>
      </c>
      <c r="I105" s="494">
        <v>0</v>
      </c>
      <c r="J105" s="503">
        <v>0</v>
      </c>
      <c r="K105" s="381">
        <v>0</v>
      </c>
      <c r="L105" s="381">
        <v>0</v>
      </c>
    </row>
  </sheetData>
  <protectedRanges>
    <protectedRange algorithmName="SHA-512" hashValue="dvQjjDKNoDKh1YaT/cZmssUYSWHf5/hJJ5qX5DKzUh5KLgSe66jrcQjl+/dRm5I+LRkj8hNgtnvenZpCguJpRg==" saltValue="gkNOg4cFaAqS8N0dmWvM6g==" spinCount="100000" sqref="A104:H105 A2:G99 H2:H97" name="Range3"/>
    <protectedRange algorithmName="SHA-512" hashValue="dvQjjDKNoDKh1YaT/cZmssUYSWHf5/hJJ5qX5DKzUh5KLgSe66jrcQjl+/dRm5I+LRkj8hNgtnvenZpCguJpRg==" saltValue="gkNOg4cFaAqS8N0dmWvM6g==" spinCount="100000" sqref="I104:I105 I3:I4 I8:I43 I45:I95 I97:I99" name="Range3_1"/>
    <protectedRange algorithmName="SHA-512" hashValue="dvQjjDKNoDKh1YaT/cZmssUYSWHf5/hJJ5qX5DKzUh5KLgSe66jrcQjl+/dRm5I+LRkj8hNgtnvenZpCguJpRg==" saltValue="gkNOg4cFaAqS8N0dmWvM6g==" spinCount="100000" sqref="J104:J105 J3:J99" name="Range3_2"/>
    <protectedRange sqref="J104:J105 J3:J97" name="Range1"/>
    <protectedRange algorithmName="SHA-512" hashValue="dvQjjDKNoDKh1YaT/cZmssUYSWHf5/hJJ5qX5DKzUh5KLgSe66jrcQjl+/dRm5I+LRkj8hNgtnvenZpCguJpRg==" saltValue="gkNOg4cFaAqS8N0dmWvM6g==" spinCount="100000" sqref="K104:L105 K3:L99" name="Range3_3"/>
    <protectedRange algorithmName="SHA-512" hashValue="dvQjjDKNoDKh1YaT/cZmssUYSWHf5/hJJ5qX5DKzUh5KLgSe66jrcQjl+/dRm5I+LRkj8hNgtnvenZpCguJpRg==" saltValue="gkNOg4cFaAqS8N0dmWvM6g==" spinCount="100000" sqref="I5:I7" name="Range3_4"/>
    <protectedRange algorithmName="SHA-512" hashValue="dvQjjDKNoDKh1YaT/cZmssUYSWHf5/hJJ5qX5DKzUh5KLgSe66jrcQjl+/dRm5I+LRkj8hNgtnvenZpCguJpRg==" saltValue="gkNOg4cFaAqS8N0dmWvM6g==" spinCount="100000" sqref="I44" name="Range3_5"/>
    <protectedRange algorithmName="SHA-512" hashValue="dvQjjDKNoDKh1YaT/cZmssUYSWHf5/hJJ5qX5DKzUh5KLgSe66jrcQjl+/dRm5I+LRkj8hNgtnvenZpCguJpRg==" saltValue="gkNOg4cFaAqS8N0dmWvM6g==" spinCount="100000" sqref="I96" name="Range3_6"/>
  </protectedRanges>
  <autoFilter ref="A2:R97" xr:uid="{00000000-0001-0000-0C00-000000000000}"/>
  <mergeCells count="1">
    <mergeCell ref="I1:L1"/>
  </mergeCells>
  <dataValidations count="1">
    <dataValidation type="list" showInputMessage="1" showErrorMessage="1" sqref="E104:E105 E3:E97" xr:uid="{74D5D1EF-B150-4947-AD76-F980BE400EB9}">
      <formula1>$AP$1:$AV$1</formula1>
    </dataValidation>
  </dataValidation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6" tint="0.59999389629810485"/>
  </sheetPr>
  <dimension ref="B1:AI32"/>
  <sheetViews>
    <sheetView workbookViewId="0">
      <selection activeCell="E53" sqref="E53"/>
    </sheetView>
  </sheetViews>
  <sheetFormatPr defaultColWidth="9.140625" defaultRowHeight="15"/>
  <cols>
    <col min="4" max="4" width="11.42578125" bestFit="1" customWidth="1"/>
    <col min="5" max="5" width="48.140625" customWidth="1"/>
    <col min="11" max="11" width="48.140625" customWidth="1"/>
    <col min="14" max="14" width="11.5703125" bestFit="1" customWidth="1"/>
    <col min="15" max="15" width="9" bestFit="1" customWidth="1"/>
    <col min="17" max="17" width="46.5703125" bestFit="1" customWidth="1"/>
  </cols>
  <sheetData>
    <row r="1" spans="2:35">
      <c r="D1">
        <f>2.1%*6000</f>
        <v>126.00000000000001</v>
      </c>
    </row>
    <row r="2" spans="2:35">
      <c r="B2" s="1" t="s">
        <v>338</v>
      </c>
      <c r="C2" s="1"/>
      <c r="H2" s="1" t="s">
        <v>339</v>
      </c>
      <c r="I2" s="1"/>
      <c r="N2" s="1" t="s">
        <v>340</v>
      </c>
      <c r="O2" s="1"/>
      <c r="T2" s="1" t="s">
        <v>341</v>
      </c>
      <c r="U2" s="1"/>
      <c r="Z2" s="1" t="s">
        <v>342</v>
      </c>
      <c r="AA2" s="1"/>
      <c r="AF2" s="1" t="s">
        <v>343</v>
      </c>
      <c r="AG2" s="1"/>
    </row>
    <row r="3" spans="2:35">
      <c r="B3" s="1"/>
      <c r="C3" s="1"/>
      <c r="D3" s="383" t="s">
        <v>344</v>
      </c>
      <c r="H3" s="1"/>
      <c r="I3" s="1"/>
      <c r="J3" s="383" t="s">
        <v>345</v>
      </c>
      <c r="N3" s="1"/>
      <c r="O3" s="1"/>
      <c r="P3" s="383" t="s">
        <v>346</v>
      </c>
      <c r="T3" s="1"/>
      <c r="U3" s="1"/>
      <c r="V3" s="383" t="s">
        <v>347</v>
      </c>
      <c r="Z3" s="1"/>
      <c r="AA3" s="1"/>
      <c r="AB3" s="383" t="s">
        <v>348</v>
      </c>
      <c r="AF3" s="1"/>
      <c r="AG3" s="1"/>
      <c r="AH3" s="383" t="s">
        <v>349</v>
      </c>
    </row>
    <row r="4" spans="2:35">
      <c r="B4" s="384" t="s">
        <v>141</v>
      </c>
      <c r="C4" s="384" t="s">
        <v>212</v>
      </c>
      <c r="D4" s="535">
        <f>ROUNDUP((J4*1.021+126),0)</f>
        <v>11108</v>
      </c>
      <c r="E4" s="384" t="s">
        <v>350</v>
      </c>
      <c r="H4" s="384" t="s">
        <v>141</v>
      </c>
      <c r="I4" s="384" t="s">
        <v>212</v>
      </c>
      <c r="J4" s="386">
        <v>10756</v>
      </c>
      <c r="K4" s="384" t="s">
        <v>350</v>
      </c>
      <c r="N4" s="384" t="s">
        <v>141</v>
      </c>
      <c r="O4" s="384" t="s">
        <v>212</v>
      </c>
      <c r="P4" s="385">
        <v>10347</v>
      </c>
      <c r="Q4" s="384" t="s">
        <v>350</v>
      </c>
      <c r="T4" s="384" t="s">
        <v>141</v>
      </c>
      <c r="U4" s="384" t="s">
        <v>212</v>
      </c>
      <c r="V4" s="386">
        <v>10121</v>
      </c>
      <c r="W4" s="384" t="s">
        <v>350</v>
      </c>
      <c r="Z4" s="384" t="s">
        <v>351</v>
      </c>
      <c r="AA4" s="384" t="s">
        <v>212</v>
      </c>
      <c r="AB4" s="387">
        <v>9820</v>
      </c>
      <c r="AC4" s="384" t="s">
        <v>350</v>
      </c>
      <c r="AF4" s="384" t="s">
        <v>351</v>
      </c>
      <c r="AG4" s="384" t="s">
        <v>212</v>
      </c>
      <c r="AH4" s="387">
        <v>9586</v>
      </c>
      <c r="AI4" s="384" t="s">
        <v>352</v>
      </c>
    </row>
    <row r="5" spans="2:35">
      <c r="B5" s="384" t="s">
        <v>141</v>
      </c>
      <c r="C5" s="384" t="s">
        <v>217</v>
      </c>
      <c r="D5" s="535">
        <f t="shared" ref="D5:D12" si="0">ROUNDUP((J5*1.021+126),0)</f>
        <v>10247</v>
      </c>
      <c r="E5" s="384" t="s">
        <v>350</v>
      </c>
      <c r="H5" s="384" t="s">
        <v>141</v>
      </c>
      <c r="I5" s="384" t="s">
        <v>217</v>
      </c>
      <c r="J5" s="386">
        <v>9912</v>
      </c>
      <c r="K5" s="384" t="s">
        <v>350</v>
      </c>
      <c r="N5" s="384" t="s">
        <v>141</v>
      </c>
      <c r="O5" s="384" t="s">
        <v>217</v>
      </c>
      <c r="P5" s="385">
        <v>9523</v>
      </c>
      <c r="Q5" s="384" t="s">
        <v>350</v>
      </c>
      <c r="T5" s="384" t="s">
        <v>141</v>
      </c>
      <c r="U5" s="384" t="s">
        <v>217</v>
      </c>
      <c r="V5" s="386">
        <v>9308</v>
      </c>
      <c r="W5" s="384" t="s">
        <v>350</v>
      </c>
      <c r="Z5" s="384" t="s">
        <v>351</v>
      </c>
      <c r="AA5" s="384" t="s">
        <v>217</v>
      </c>
      <c r="AB5" s="387">
        <v>9022</v>
      </c>
      <c r="AC5" s="384" t="s">
        <v>350</v>
      </c>
      <c r="AF5" s="384" t="s">
        <v>351</v>
      </c>
      <c r="AG5" s="384" t="s">
        <v>217</v>
      </c>
      <c r="AH5" s="387">
        <v>8800</v>
      </c>
      <c r="AI5" s="384" t="s">
        <v>352</v>
      </c>
    </row>
    <row r="6" spans="2:35">
      <c r="B6" s="384" t="s">
        <v>130</v>
      </c>
      <c r="C6" s="384" t="s">
        <v>212</v>
      </c>
      <c r="D6" s="535">
        <f t="shared" si="0"/>
        <v>12838</v>
      </c>
      <c r="E6" s="384" t="s">
        <v>353</v>
      </c>
      <c r="H6" s="384" t="s">
        <v>130</v>
      </c>
      <c r="I6" s="384" t="s">
        <v>212</v>
      </c>
      <c r="J6" s="386">
        <v>12450</v>
      </c>
      <c r="K6" s="384" t="s">
        <v>353</v>
      </c>
      <c r="N6" s="384" t="s">
        <v>130</v>
      </c>
      <c r="O6" s="384" t="s">
        <v>212</v>
      </c>
      <c r="P6" s="385">
        <v>12000</v>
      </c>
      <c r="Q6" s="384" t="s">
        <v>353</v>
      </c>
      <c r="T6" s="384" t="s">
        <v>130</v>
      </c>
      <c r="U6" s="384" t="s">
        <v>212</v>
      </c>
      <c r="V6" s="386">
        <v>4715</v>
      </c>
      <c r="W6" s="384" t="s">
        <v>353</v>
      </c>
      <c r="Z6" s="384" t="s">
        <v>130</v>
      </c>
      <c r="AA6" s="384" t="s">
        <v>212</v>
      </c>
      <c r="AB6" s="387">
        <v>4515</v>
      </c>
      <c r="AC6" s="384" t="s">
        <v>353</v>
      </c>
      <c r="AF6" s="384" t="s">
        <v>130</v>
      </c>
      <c r="AG6" s="384" t="s">
        <v>212</v>
      </c>
      <c r="AH6" s="387">
        <v>4359</v>
      </c>
      <c r="AI6" s="384" t="s">
        <v>353</v>
      </c>
    </row>
    <row r="7" spans="2:35">
      <c r="B7" s="384" t="s">
        <v>130</v>
      </c>
      <c r="C7" s="384" t="s">
        <v>217</v>
      </c>
      <c r="D7" s="535">
        <f t="shared" si="0"/>
        <v>11582</v>
      </c>
      <c r="E7" s="384" t="s">
        <v>353</v>
      </c>
      <c r="H7" s="384" t="s">
        <v>130</v>
      </c>
      <c r="I7" s="384" t="s">
        <v>217</v>
      </c>
      <c r="J7" s="386">
        <v>11220</v>
      </c>
      <c r="K7" s="384" t="s">
        <v>353</v>
      </c>
      <c r="N7" s="384" t="s">
        <v>130</v>
      </c>
      <c r="O7" s="384" t="s">
        <v>217</v>
      </c>
      <c r="P7" s="385">
        <v>10800</v>
      </c>
      <c r="Q7" s="384" t="s">
        <v>353</v>
      </c>
      <c r="T7" s="384" t="s">
        <v>130</v>
      </c>
      <c r="U7" s="384" t="s">
        <v>217</v>
      </c>
      <c r="V7" s="386">
        <v>4234</v>
      </c>
      <c r="W7" s="384" t="s">
        <v>353</v>
      </c>
      <c r="Z7" s="384" t="s">
        <v>130</v>
      </c>
      <c r="AA7" s="384" t="s">
        <v>217</v>
      </c>
      <c r="AB7" s="387">
        <v>4043</v>
      </c>
      <c r="AC7" s="384" t="s">
        <v>353</v>
      </c>
      <c r="AF7" s="384" t="s">
        <v>130</v>
      </c>
      <c r="AG7" s="384" t="s">
        <v>217</v>
      </c>
      <c r="AH7" s="387">
        <v>3894</v>
      </c>
      <c r="AI7" s="384" t="s">
        <v>353</v>
      </c>
    </row>
    <row r="8" spans="2:35">
      <c r="B8" s="384" t="s">
        <v>215</v>
      </c>
      <c r="C8" s="384" t="s">
        <v>212</v>
      </c>
      <c r="D8" s="535">
        <f t="shared" si="0"/>
        <v>8701</v>
      </c>
      <c r="E8" s="384" t="s">
        <v>354</v>
      </c>
      <c r="H8" s="384" t="s">
        <v>215</v>
      </c>
      <c r="I8" s="384" t="s">
        <v>212</v>
      </c>
      <c r="J8" s="386">
        <v>8398</v>
      </c>
      <c r="K8" s="384" t="s">
        <v>354</v>
      </c>
      <c r="N8" s="384" t="s">
        <v>215</v>
      </c>
      <c r="O8" s="384" t="s">
        <v>212</v>
      </c>
      <c r="P8" s="385">
        <v>8046</v>
      </c>
      <c r="Q8" s="384" t="s">
        <v>354</v>
      </c>
      <c r="T8" s="384" t="s">
        <v>215</v>
      </c>
      <c r="U8" s="384" t="s">
        <v>212</v>
      </c>
      <c r="V8" s="386">
        <v>7852</v>
      </c>
      <c r="W8" s="384" t="s">
        <v>354</v>
      </c>
      <c r="Z8" s="384" t="s">
        <v>215</v>
      </c>
      <c r="AA8" s="384" t="s">
        <v>212</v>
      </c>
      <c r="AB8" s="387">
        <v>7593</v>
      </c>
      <c r="AC8" s="384" t="s">
        <v>354</v>
      </c>
      <c r="AF8" s="384" t="s">
        <v>215</v>
      </c>
      <c r="AG8" s="384" t="s">
        <v>212</v>
      </c>
      <c r="AH8" s="387">
        <v>7392</v>
      </c>
      <c r="AI8" s="384" t="s">
        <v>354</v>
      </c>
    </row>
    <row r="9" spans="2:35">
      <c r="B9" s="384" t="s">
        <v>215</v>
      </c>
      <c r="C9" s="384" t="s">
        <v>217</v>
      </c>
      <c r="D9" s="535">
        <f t="shared" si="0"/>
        <v>6218</v>
      </c>
      <c r="E9" s="384" t="s">
        <v>354</v>
      </c>
      <c r="H9" s="384" t="s">
        <v>215</v>
      </c>
      <c r="I9" s="384" t="s">
        <v>217</v>
      </c>
      <c r="J9" s="386">
        <v>5966</v>
      </c>
      <c r="K9" s="384" t="s">
        <v>354</v>
      </c>
      <c r="N9" s="384" t="s">
        <v>215</v>
      </c>
      <c r="O9" s="384" t="s">
        <v>217</v>
      </c>
      <c r="P9" s="385">
        <v>5674</v>
      </c>
      <c r="Q9" s="384" t="s">
        <v>354</v>
      </c>
      <c r="T9" s="384" t="s">
        <v>215</v>
      </c>
      <c r="U9" s="384" t="s">
        <v>217</v>
      </c>
      <c r="V9" s="386">
        <v>5512</v>
      </c>
      <c r="W9" s="384" t="s">
        <v>354</v>
      </c>
      <c r="Z9" s="384" t="s">
        <v>215</v>
      </c>
      <c r="AA9" s="384" t="s">
        <v>217</v>
      </c>
      <c r="AB9" s="387">
        <v>5297</v>
      </c>
      <c r="AC9" s="384" t="s">
        <v>354</v>
      </c>
      <c r="AF9" s="384" t="s">
        <v>215</v>
      </c>
      <c r="AG9" s="384" t="s">
        <v>217</v>
      </c>
      <c r="AH9" s="387">
        <v>5130</v>
      </c>
      <c r="AI9" s="384" t="s">
        <v>354</v>
      </c>
    </row>
    <row r="10" spans="2:35">
      <c r="B10" s="384" t="s">
        <v>143</v>
      </c>
      <c r="C10" s="384" t="s">
        <v>212</v>
      </c>
      <c r="D10" s="535">
        <f t="shared" si="0"/>
        <v>1534</v>
      </c>
      <c r="E10" s="384" t="s">
        <v>355</v>
      </c>
      <c r="H10" s="384" t="s">
        <v>143</v>
      </c>
      <c r="I10" s="384" t="s">
        <v>212</v>
      </c>
      <c r="J10" s="386">
        <v>1379</v>
      </c>
      <c r="K10" s="384" t="s">
        <v>355</v>
      </c>
      <c r="N10" s="384" t="s">
        <v>143</v>
      </c>
      <c r="O10" s="384" t="s">
        <v>212</v>
      </c>
      <c r="P10" s="385">
        <v>1199</v>
      </c>
      <c r="Q10" s="384" t="s">
        <v>355</v>
      </c>
      <c r="T10" s="384" t="s">
        <v>143</v>
      </c>
      <c r="U10" s="384" t="s">
        <v>212</v>
      </c>
      <c r="V10" s="386">
        <v>1099</v>
      </c>
      <c r="W10" s="384" t="s">
        <v>355</v>
      </c>
      <c r="Z10" s="384" t="s">
        <v>143</v>
      </c>
      <c r="AA10" s="384" t="s">
        <v>212</v>
      </c>
      <c r="AB10" s="387">
        <v>966</v>
      </c>
      <c r="AC10" s="384" t="s">
        <v>355</v>
      </c>
      <c r="AF10" s="384" t="s">
        <v>143</v>
      </c>
      <c r="AG10" s="384" t="s">
        <v>212</v>
      </c>
      <c r="AH10" s="387">
        <v>863</v>
      </c>
      <c r="AI10" s="384" t="s">
        <v>355</v>
      </c>
    </row>
    <row r="11" spans="2:35">
      <c r="B11" s="384" t="s">
        <v>143</v>
      </c>
      <c r="C11" s="384" t="s">
        <v>217</v>
      </c>
      <c r="D11" s="535">
        <f t="shared" si="0"/>
        <v>3059</v>
      </c>
      <c r="E11" s="384" t="s">
        <v>355</v>
      </c>
      <c r="H11" s="384" t="s">
        <v>143</v>
      </c>
      <c r="I11" s="384" t="s">
        <v>217</v>
      </c>
      <c r="J11" s="386">
        <v>2872</v>
      </c>
      <c r="K11" s="384" t="s">
        <v>355</v>
      </c>
      <c r="N11" s="384" t="s">
        <v>143</v>
      </c>
      <c r="O11" s="384" t="s">
        <v>217</v>
      </c>
      <c r="P11" s="385">
        <v>2655</v>
      </c>
      <c r="Q11" s="384" t="s">
        <v>355</v>
      </c>
      <c r="T11" s="384" t="s">
        <v>143</v>
      </c>
      <c r="U11" s="384" t="s">
        <v>217</v>
      </c>
      <c r="V11" s="386">
        <v>2535</v>
      </c>
      <c r="W11" s="384" t="s">
        <v>355</v>
      </c>
      <c r="Z11" s="384" t="s">
        <v>143</v>
      </c>
      <c r="AA11" s="384" t="s">
        <v>217</v>
      </c>
      <c r="AB11" s="387">
        <v>2375</v>
      </c>
      <c r="AC11" s="384" t="s">
        <v>355</v>
      </c>
      <c r="AF11" s="384" t="s">
        <v>143</v>
      </c>
      <c r="AG11" s="384" t="s">
        <v>217</v>
      </c>
      <c r="AH11" s="387">
        <v>2251</v>
      </c>
      <c r="AI11" s="384" t="s">
        <v>355</v>
      </c>
    </row>
    <row r="12" spans="2:35">
      <c r="B12" s="384" t="s">
        <v>337</v>
      </c>
      <c r="C12" s="384" t="s">
        <v>212</v>
      </c>
      <c r="D12" s="385">
        <f t="shared" si="0"/>
        <v>2382</v>
      </c>
      <c r="E12" s="384" t="s">
        <v>356</v>
      </c>
      <c r="H12" s="384" t="s">
        <v>337</v>
      </c>
      <c r="I12" s="384" t="s">
        <v>212</v>
      </c>
      <c r="J12" s="385">
        <v>2209</v>
      </c>
      <c r="K12" s="384" t="s">
        <v>356</v>
      </c>
      <c r="N12" s="384" t="s">
        <v>337</v>
      </c>
      <c r="O12" s="384" t="s">
        <v>212</v>
      </c>
      <c r="P12" s="385">
        <v>2008</v>
      </c>
      <c r="Q12" s="384" t="s">
        <v>356</v>
      </c>
      <c r="T12" s="384" t="s">
        <v>337</v>
      </c>
      <c r="U12" s="384" t="s">
        <v>212</v>
      </c>
      <c r="V12" s="386">
        <v>1897</v>
      </c>
      <c r="W12" s="384" t="s">
        <v>356</v>
      </c>
      <c r="Z12" s="384" t="s">
        <v>337</v>
      </c>
      <c r="AA12" s="384" t="s">
        <v>212</v>
      </c>
      <c r="AB12" s="387">
        <v>1749</v>
      </c>
      <c r="AC12" s="384" t="s">
        <v>356</v>
      </c>
      <c r="AF12" s="384" t="s">
        <v>337</v>
      </c>
      <c r="AG12" s="384" t="s">
        <v>212</v>
      </c>
      <c r="AH12" s="387">
        <v>1634</v>
      </c>
      <c r="AI12" s="384" t="s">
        <v>356</v>
      </c>
    </row>
    <row r="13" spans="2:35">
      <c r="B13" s="384" t="s">
        <v>337</v>
      </c>
      <c r="C13" s="384" t="s">
        <v>217</v>
      </c>
      <c r="D13" s="388"/>
      <c r="E13" s="384" t="s">
        <v>356</v>
      </c>
      <c r="H13" s="384" t="s">
        <v>337</v>
      </c>
      <c r="I13" s="384" t="s">
        <v>217</v>
      </c>
      <c r="J13" s="388"/>
      <c r="K13" s="384" t="s">
        <v>356</v>
      </c>
      <c r="N13" s="384" t="s">
        <v>337</v>
      </c>
      <c r="O13" s="384" t="s">
        <v>217</v>
      </c>
      <c r="P13" s="388"/>
      <c r="Q13" s="384" t="s">
        <v>356</v>
      </c>
      <c r="T13" s="384" t="s">
        <v>337</v>
      </c>
      <c r="U13" s="384" t="s">
        <v>217</v>
      </c>
      <c r="V13" s="388"/>
      <c r="W13" s="384" t="s">
        <v>356</v>
      </c>
      <c r="Z13" s="384" t="s">
        <v>337</v>
      </c>
      <c r="AA13" s="384" t="s">
        <v>217</v>
      </c>
      <c r="AB13" s="387"/>
      <c r="AC13" s="384" t="s">
        <v>356</v>
      </c>
      <c r="AF13" s="384" t="s">
        <v>337</v>
      </c>
      <c r="AG13" s="384" t="s">
        <v>217</v>
      </c>
      <c r="AH13" s="387">
        <v>0</v>
      </c>
      <c r="AI13" s="384" t="s">
        <v>356</v>
      </c>
    </row>
    <row r="14" spans="2:35">
      <c r="B14" s="389" t="s">
        <v>357</v>
      </c>
      <c r="C14" s="389" t="s">
        <v>217</v>
      </c>
      <c r="D14" s="390">
        <v>52300</v>
      </c>
      <c r="E14" s="389" t="s">
        <v>358</v>
      </c>
      <c r="H14" s="389" t="s">
        <v>357</v>
      </c>
      <c r="I14" s="389" t="s">
        <v>217</v>
      </c>
      <c r="J14" s="390">
        <v>52300</v>
      </c>
      <c r="K14" s="389" t="s">
        <v>358</v>
      </c>
      <c r="N14" s="389" t="s">
        <v>357</v>
      </c>
      <c r="O14" s="389" t="s">
        <v>217</v>
      </c>
      <c r="P14" s="390">
        <v>52300</v>
      </c>
      <c r="Q14" s="389" t="s">
        <v>358</v>
      </c>
      <c r="T14" s="389" t="s">
        <v>357</v>
      </c>
      <c r="U14" s="389" t="s">
        <v>217</v>
      </c>
      <c r="V14" s="390">
        <v>52300</v>
      </c>
      <c r="W14" s="389" t="s">
        <v>358</v>
      </c>
      <c r="Z14" s="389" t="s">
        <v>357</v>
      </c>
      <c r="AA14" s="389" t="s">
        <v>217</v>
      </c>
      <c r="AB14" s="389">
        <v>52300</v>
      </c>
      <c r="AC14" s="389" t="s">
        <v>358</v>
      </c>
      <c r="AF14" s="389" t="s">
        <v>357</v>
      </c>
      <c r="AG14" s="389" t="s">
        <v>217</v>
      </c>
      <c r="AH14" s="389">
        <v>52300</v>
      </c>
      <c r="AI14" s="389" t="s">
        <v>358</v>
      </c>
    </row>
    <row r="15" spans="2:35">
      <c r="B15" s="384" t="s">
        <v>221</v>
      </c>
      <c r="C15" s="384" t="s">
        <v>217</v>
      </c>
      <c r="D15" s="535">
        <f t="shared" ref="D15:D16" si="1">ROUNDUP((J15*1.021+126),0)</f>
        <v>11804</v>
      </c>
      <c r="E15" s="384" t="s">
        <v>359</v>
      </c>
      <c r="H15" s="384" t="s">
        <v>221</v>
      </c>
      <c r="I15" s="384" t="s">
        <v>217</v>
      </c>
      <c r="J15" s="386">
        <v>11437</v>
      </c>
      <c r="K15" s="384" t="s">
        <v>359</v>
      </c>
      <c r="N15" s="384" t="s">
        <v>221</v>
      </c>
      <c r="O15" s="384" t="s">
        <v>217</v>
      </c>
      <c r="P15" s="385">
        <v>11011</v>
      </c>
      <c r="Q15" s="384" t="s">
        <v>359</v>
      </c>
      <c r="T15" s="384" t="s">
        <v>221</v>
      </c>
      <c r="U15" s="384" t="s">
        <v>217</v>
      </c>
      <c r="V15" s="386">
        <v>10776</v>
      </c>
      <c r="W15" s="384" t="s">
        <v>359</v>
      </c>
      <c r="Z15" s="384" t="s">
        <v>221</v>
      </c>
      <c r="AA15" s="384" t="s">
        <v>217</v>
      </c>
      <c r="AB15" s="387">
        <v>10463</v>
      </c>
      <c r="AC15" s="384" t="s">
        <v>359</v>
      </c>
      <c r="AF15" s="384" t="s">
        <v>221</v>
      </c>
      <c r="AG15" s="384" t="s">
        <v>217</v>
      </c>
      <c r="AH15" s="387">
        <v>10219</v>
      </c>
      <c r="AI15" s="384" t="s">
        <v>359</v>
      </c>
    </row>
    <row r="16" spans="2:35">
      <c r="B16" s="384" t="s">
        <v>220</v>
      </c>
      <c r="C16" s="384" t="s">
        <v>217</v>
      </c>
      <c r="D16" s="535">
        <f t="shared" si="1"/>
        <v>14708</v>
      </c>
      <c r="E16" s="384" t="s">
        <v>360</v>
      </c>
      <c r="H16" s="384" t="s">
        <v>220</v>
      </c>
      <c r="I16" s="384" t="s">
        <v>217</v>
      </c>
      <c r="J16" s="386">
        <v>14282</v>
      </c>
      <c r="K16" s="384" t="s">
        <v>360</v>
      </c>
      <c r="N16" s="384" t="s">
        <v>220</v>
      </c>
      <c r="O16" s="384" t="s">
        <v>217</v>
      </c>
      <c r="P16" s="385">
        <v>13787</v>
      </c>
      <c r="Q16" s="384" t="s">
        <v>360</v>
      </c>
      <c r="T16" s="384" t="s">
        <v>220</v>
      </c>
      <c r="U16" s="384" t="s">
        <v>217</v>
      </c>
      <c r="V16" s="386">
        <v>13513</v>
      </c>
      <c r="W16" s="384" t="s">
        <v>360</v>
      </c>
      <c r="Z16" s="384" t="s">
        <v>220</v>
      </c>
      <c r="AA16" s="384" t="s">
        <v>217</v>
      </c>
      <c r="AB16" s="387">
        <v>13149</v>
      </c>
      <c r="AC16" s="384" t="s">
        <v>360</v>
      </c>
      <c r="AF16" s="384" t="s">
        <v>220</v>
      </c>
      <c r="AG16" s="384" t="s">
        <v>217</v>
      </c>
      <c r="AH16" s="387">
        <v>12866</v>
      </c>
      <c r="AI16" s="384" t="s">
        <v>360</v>
      </c>
    </row>
    <row r="17" spans="2:35">
      <c r="B17" s="384" t="s">
        <v>361</v>
      </c>
      <c r="C17" s="384"/>
      <c r="D17" s="391">
        <v>6000</v>
      </c>
      <c r="E17" s="384" t="s">
        <v>115</v>
      </c>
      <c r="H17" s="384" t="s">
        <v>361</v>
      </c>
      <c r="I17" s="384"/>
      <c r="J17" s="391">
        <v>6000</v>
      </c>
      <c r="K17" s="384" t="s">
        <v>115</v>
      </c>
      <c r="N17" s="384" t="s">
        <v>361</v>
      </c>
      <c r="O17" s="384"/>
      <c r="P17" s="391">
        <v>6000</v>
      </c>
      <c r="Q17" s="384" t="s">
        <v>115</v>
      </c>
      <c r="T17" s="384" t="s">
        <v>361</v>
      </c>
      <c r="U17" s="384"/>
      <c r="V17" s="391">
        <v>6000</v>
      </c>
      <c r="W17" s="384" t="s">
        <v>115</v>
      </c>
      <c r="Z17" s="384" t="s">
        <v>361</v>
      </c>
      <c r="AA17" s="384"/>
      <c r="AB17" s="384">
        <v>6000</v>
      </c>
      <c r="AC17" s="384" t="s">
        <v>115</v>
      </c>
      <c r="AF17" s="384" t="s">
        <v>361</v>
      </c>
      <c r="AG17" s="384"/>
      <c r="AH17" s="384">
        <v>6000</v>
      </c>
      <c r="AI17" s="384" t="s">
        <v>115</v>
      </c>
    </row>
    <row r="18" spans="2:35">
      <c r="B18" s="384" t="s">
        <v>362</v>
      </c>
      <c r="C18" s="384" t="s">
        <v>212</v>
      </c>
      <c r="D18" s="391">
        <f>ROUNDUP((J18*1.021),0)</f>
        <v>8494</v>
      </c>
      <c r="E18" s="384" t="s">
        <v>77</v>
      </c>
      <c r="H18" s="384" t="s">
        <v>362</v>
      </c>
      <c r="I18" s="384" t="s">
        <v>212</v>
      </c>
      <c r="J18" s="391">
        <v>8319</v>
      </c>
      <c r="K18" s="384" t="s">
        <v>77</v>
      </c>
      <c r="N18" s="384" t="s">
        <v>362</v>
      </c>
      <c r="O18" s="384" t="s">
        <v>212</v>
      </c>
      <c r="P18" s="391">
        <v>8116</v>
      </c>
      <c r="Q18" s="384" t="s">
        <v>77</v>
      </c>
      <c r="T18" s="384" t="s">
        <v>362</v>
      </c>
      <c r="U18" s="384" t="s">
        <v>212</v>
      </c>
      <c r="V18" s="391">
        <v>8003</v>
      </c>
      <c r="W18" s="384" t="s">
        <v>77</v>
      </c>
      <c r="Z18" s="384" t="s">
        <v>362</v>
      </c>
      <c r="AA18" s="384" t="s">
        <v>212</v>
      </c>
      <c r="AB18" s="392">
        <v>7853</v>
      </c>
      <c r="AC18" s="384" t="s">
        <v>77</v>
      </c>
      <c r="AF18" s="384" t="s">
        <v>362</v>
      </c>
      <c r="AG18" s="384" t="s">
        <v>212</v>
      </c>
      <c r="AH18" s="392">
        <v>7736</v>
      </c>
      <c r="AI18" s="384" t="s">
        <v>77</v>
      </c>
    </row>
    <row r="19" spans="2:35">
      <c r="B19" s="384" t="s">
        <v>362</v>
      </c>
      <c r="C19" s="384" t="s">
        <v>217</v>
      </c>
      <c r="D19" s="391">
        <f>ROUNDUP((J19*1.021),0)</f>
        <v>15921</v>
      </c>
      <c r="E19" s="384" t="s">
        <v>77</v>
      </c>
      <c r="H19" s="384" t="s">
        <v>362</v>
      </c>
      <c r="I19" s="384" t="s">
        <v>217</v>
      </c>
      <c r="J19" s="391">
        <v>15593</v>
      </c>
      <c r="K19" s="384" t="s">
        <v>77</v>
      </c>
      <c r="N19" s="384" t="s">
        <v>362</v>
      </c>
      <c r="O19" s="384" t="s">
        <v>217</v>
      </c>
      <c r="P19" s="391">
        <v>15212</v>
      </c>
      <c r="Q19" s="384" t="s">
        <v>77</v>
      </c>
      <c r="T19" s="384" t="s">
        <v>362</v>
      </c>
      <c r="U19" s="384" t="s">
        <v>217</v>
      </c>
      <c r="V19" s="391">
        <v>15001</v>
      </c>
      <c r="W19" s="384" t="s">
        <v>77</v>
      </c>
      <c r="Z19" s="384" t="s">
        <v>362</v>
      </c>
      <c r="AA19" s="384" t="s">
        <v>217</v>
      </c>
      <c r="AB19" s="392">
        <v>14721</v>
      </c>
      <c r="AC19" s="384" t="s">
        <v>77</v>
      </c>
      <c r="AF19" s="384" t="s">
        <v>362</v>
      </c>
      <c r="AG19" s="384" t="s">
        <v>217</v>
      </c>
      <c r="AH19" s="392">
        <v>14503</v>
      </c>
      <c r="AI19" s="384" t="s">
        <v>77</v>
      </c>
    </row>
    <row r="20" spans="2:35">
      <c r="B20" s="384" t="s">
        <v>142</v>
      </c>
      <c r="C20" s="384" t="s">
        <v>212</v>
      </c>
      <c r="D20" s="535">
        <f t="shared" ref="D20:D23" si="2">ROUNDUP((J20*1.021+126),0)</f>
        <v>5256</v>
      </c>
      <c r="E20" s="384" t="s">
        <v>363</v>
      </c>
      <c r="H20" s="384" t="s">
        <v>142</v>
      </c>
      <c r="I20" s="384" t="s">
        <v>212</v>
      </c>
      <c r="J20" s="386">
        <v>5024</v>
      </c>
      <c r="K20" s="384" t="s">
        <v>363</v>
      </c>
      <c r="N20" s="384" t="s">
        <v>142</v>
      </c>
      <c r="O20" s="384" t="s">
        <v>212</v>
      </c>
      <c r="P20" s="385">
        <v>4755</v>
      </c>
      <c r="Q20" s="384" t="s">
        <v>363</v>
      </c>
      <c r="T20" s="384" t="s">
        <v>142</v>
      </c>
      <c r="U20" s="384" t="s">
        <v>212</v>
      </c>
      <c r="V20" s="386">
        <v>4606</v>
      </c>
      <c r="W20" s="384" t="s">
        <v>363</v>
      </c>
      <c r="Z20" s="384" t="s">
        <v>142</v>
      </c>
      <c r="AA20" s="384" t="s">
        <v>212</v>
      </c>
      <c r="AB20" s="387">
        <v>4408</v>
      </c>
      <c r="AC20" s="384" t="s">
        <v>363</v>
      </c>
      <c r="AF20" s="384" t="s">
        <v>142</v>
      </c>
      <c r="AG20" s="384" t="s">
        <v>212</v>
      </c>
      <c r="AH20" s="387">
        <v>4254</v>
      </c>
      <c r="AI20" s="384" t="s">
        <v>363</v>
      </c>
    </row>
    <row r="21" spans="2:35">
      <c r="B21" s="384" t="s">
        <v>142</v>
      </c>
      <c r="C21" s="384" t="s">
        <v>217</v>
      </c>
      <c r="D21" s="535">
        <f t="shared" si="2"/>
        <v>5149</v>
      </c>
      <c r="E21" s="384" t="s">
        <v>363</v>
      </c>
      <c r="H21" s="384" t="s">
        <v>142</v>
      </c>
      <c r="I21" s="384" t="s">
        <v>217</v>
      </c>
      <c r="J21" s="386">
        <v>4919</v>
      </c>
      <c r="K21" s="384" t="s">
        <v>363</v>
      </c>
      <c r="N21" s="384" t="s">
        <v>142</v>
      </c>
      <c r="O21" s="384" t="s">
        <v>217</v>
      </c>
      <c r="P21" s="385">
        <v>4652</v>
      </c>
      <c r="Q21" s="384" t="s">
        <v>363</v>
      </c>
      <c r="T21" s="384" t="s">
        <v>142</v>
      </c>
      <c r="U21" s="384" t="s">
        <v>217</v>
      </c>
      <c r="V21" s="386">
        <v>4504</v>
      </c>
      <c r="W21" s="384" t="s">
        <v>363</v>
      </c>
      <c r="Z21" s="384" t="s">
        <v>142</v>
      </c>
      <c r="AA21" s="384" t="s">
        <v>217</v>
      </c>
      <c r="AB21" s="387">
        <v>4308</v>
      </c>
      <c r="AC21" s="384" t="s">
        <v>363</v>
      </c>
      <c r="AF21" s="384" t="s">
        <v>142</v>
      </c>
      <c r="AG21" s="384" t="s">
        <v>217</v>
      </c>
      <c r="AH21" s="387">
        <v>4155</v>
      </c>
      <c r="AI21" s="384" t="s">
        <v>363</v>
      </c>
    </row>
    <row r="22" spans="2:35">
      <c r="B22" s="384" t="s">
        <v>213</v>
      </c>
      <c r="C22" s="384" t="s">
        <v>212</v>
      </c>
      <c r="D22" s="535">
        <f t="shared" si="2"/>
        <v>2841</v>
      </c>
      <c r="E22" s="384" t="s">
        <v>364</v>
      </c>
      <c r="H22" s="384" t="s">
        <v>213</v>
      </c>
      <c r="I22" s="384" t="s">
        <v>212</v>
      </c>
      <c r="J22" s="386">
        <v>2659</v>
      </c>
      <c r="K22" s="384" t="s">
        <v>364</v>
      </c>
      <c r="N22" s="384" t="s">
        <v>213</v>
      </c>
      <c r="O22" s="384" t="s">
        <v>212</v>
      </c>
      <c r="P22" s="385">
        <v>2447</v>
      </c>
      <c r="Q22" s="384" t="s">
        <v>364</v>
      </c>
      <c r="T22" s="384" t="s">
        <v>213</v>
      </c>
      <c r="U22" s="384" t="s">
        <v>212</v>
      </c>
      <c r="V22" s="386">
        <v>2330</v>
      </c>
      <c r="W22" s="384" t="s">
        <v>364</v>
      </c>
      <c r="Z22" s="384" t="s">
        <v>213</v>
      </c>
      <c r="AA22" s="384" t="s">
        <v>212</v>
      </c>
      <c r="AB22" s="387">
        <v>2174</v>
      </c>
      <c r="AC22" s="384" t="s">
        <v>364</v>
      </c>
      <c r="AF22" s="384" t="s">
        <v>213</v>
      </c>
      <c r="AG22" s="384" t="s">
        <v>212</v>
      </c>
      <c r="AH22" s="387">
        <v>2053</v>
      </c>
      <c r="AI22" s="384" t="s">
        <v>364</v>
      </c>
    </row>
    <row r="23" spans="2:35">
      <c r="B23" s="384" t="s">
        <v>240</v>
      </c>
      <c r="C23" s="384" t="s">
        <v>217</v>
      </c>
      <c r="D23" s="535">
        <f t="shared" si="2"/>
        <v>1311</v>
      </c>
      <c r="E23" s="384" t="s">
        <v>365</v>
      </c>
      <c r="H23" s="384" t="s">
        <v>240</v>
      </c>
      <c r="I23" s="384" t="s">
        <v>217</v>
      </c>
      <c r="J23" s="386">
        <v>1160</v>
      </c>
      <c r="K23" s="384" t="s">
        <v>365</v>
      </c>
      <c r="N23" s="384" t="s">
        <v>240</v>
      </c>
      <c r="O23" s="384" t="s">
        <v>217</v>
      </c>
      <c r="P23" s="385">
        <v>985</v>
      </c>
      <c r="Q23" s="384" t="s">
        <v>365</v>
      </c>
      <c r="T23" s="384" t="s">
        <v>240</v>
      </c>
      <c r="U23" s="384" t="s">
        <v>217</v>
      </c>
      <c r="V23" s="386">
        <v>888</v>
      </c>
      <c r="W23" s="384" t="s">
        <v>365</v>
      </c>
      <c r="Z23" s="384" t="s">
        <v>240</v>
      </c>
      <c r="AA23" s="384" t="s">
        <v>217</v>
      </c>
      <c r="AB23" s="387">
        <v>759</v>
      </c>
      <c r="AC23" s="384" t="s">
        <v>365</v>
      </c>
      <c r="AF23" s="384" t="s">
        <v>240</v>
      </c>
      <c r="AG23" s="384" t="s">
        <v>217</v>
      </c>
      <c r="AH23" s="387">
        <v>659</v>
      </c>
      <c r="AI23" s="384" t="s">
        <v>365</v>
      </c>
    </row>
    <row r="24" spans="2:35">
      <c r="B24" s="384" t="s">
        <v>366</v>
      </c>
      <c r="C24" s="384" t="s">
        <v>212</v>
      </c>
      <c r="D24" s="391">
        <f t="shared" ref="D24:D25" si="3">ROUNDUP((J24*1.021),0)</f>
        <v>6633</v>
      </c>
      <c r="E24" s="384" t="s">
        <v>367</v>
      </c>
      <c r="H24" s="384" t="s">
        <v>366</v>
      </c>
      <c r="I24" s="384" t="s">
        <v>212</v>
      </c>
      <c r="J24" s="391">
        <v>6496</v>
      </c>
      <c r="K24" s="384" t="s">
        <v>367</v>
      </c>
      <c r="N24" s="384" t="s">
        <v>366</v>
      </c>
      <c r="O24" s="384" t="s">
        <v>212</v>
      </c>
      <c r="P24" s="391">
        <v>6337</v>
      </c>
      <c r="Q24" s="384" t="s">
        <v>367</v>
      </c>
      <c r="T24" s="384" t="s">
        <v>366</v>
      </c>
      <c r="U24" s="384" t="s">
        <v>212</v>
      </c>
      <c r="V24" s="391">
        <v>6249</v>
      </c>
      <c r="W24" s="384" t="s">
        <v>367</v>
      </c>
      <c r="Z24" s="384" t="s">
        <v>366</v>
      </c>
      <c r="AA24" s="384" t="s">
        <v>212</v>
      </c>
      <c r="AB24" s="392">
        <v>6132</v>
      </c>
      <c r="AC24" s="384" t="s">
        <v>367</v>
      </c>
      <c r="AF24" s="384" t="s">
        <v>366</v>
      </c>
      <c r="AG24" s="384" t="s">
        <v>212</v>
      </c>
      <c r="AH24" s="392">
        <v>6041</v>
      </c>
      <c r="AI24" s="384" t="s">
        <v>367</v>
      </c>
    </row>
    <row r="25" spans="2:35">
      <c r="B25" s="384" t="s">
        <v>366</v>
      </c>
      <c r="C25" s="384" t="s">
        <v>217</v>
      </c>
      <c r="D25" s="391">
        <f t="shared" si="3"/>
        <v>6633</v>
      </c>
      <c r="E25" s="384" t="s">
        <v>367</v>
      </c>
      <c r="H25" s="384" t="s">
        <v>366</v>
      </c>
      <c r="I25" s="384" t="s">
        <v>217</v>
      </c>
      <c r="J25" s="391">
        <v>6496</v>
      </c>
      <c r="K25" s="384" t="s">
        <v>367</v>
      </c>
      <c r="N25" s="384" t="s">
        <v>366</v>
      </c>
      <c r="O25" s="384" t="s">
        <v>217</v>
      </c>
      <c r="P25" s="391">
        <v>6337</v>
      </c>
      <c r="Q25" s="384" t="s">
        <v>367</v>
      </c>
      <c r="T25" s="384" t="s">
        <v>366</v>
      </c>
      <c r="U25" s="384" t="s">
        <v>217</v>
      </c>
      <c r="V25" s="391">
        <v>6249</v>
      </c>
      <c r="W25" s="384" t="s">
        <v>367</v>
      </c>
      <c r="Z25" s="384" t="s">
        <v>366</v>
      </c>
      <c r="AA25" s="384" t="s">
        <v>217</v>
      </c>
      <c r="AB25" s="392">
        <v>6132</v>
      </c>
      <c r="AC25" s="384" t="s">
        <v>367</v>
      </c>
      <c r="AF25" s="384" t="s">
        <v>366</v>
      </c>
      <c r="AG25" s="384" t="s">
        <v>217</v>
      </c>
      <c r="AH25" s="392">
        <v>6041</v>
      </c>
      <c r="AI25" s="384" t="s">
        <v>367</v>
      </c>
    </row>
    <row r="26" spans="2:35">
      <c r="B26" s="384" t="s">
        <v>214</v>
      </c>
      <c r="C26" s="384" t="s">
        <v>212</v>
      </c>
      <c r="D26" s="535">
        <f t="shared" ref="D26:D27" si="4">ROUNDUP((J26*1.021+126),0)</f>
        <v>13765</v>
      </c>
      <c r="E26" s="384" t="s">
        <v>368</v>
      </c>
      <c r="H26" s="384" t="s">
        <v>214</v>
      </c>
      <c r="I26" s="384" t="s">
        <v>212</v>
      </c>
      <c r="J26" s="386">
        <v>13358</v>
      </c>
      <c r="K26" s="384" t="s">
        <v>368</v>
      </c>
      <c r="N26" s="384" t="s">
        <v>214</v>
      </c>
      <c r="O26" s="384" t="s">
        <v>212</v>
      </c>
      <c r="P26" s="386">
        <v>12885</v>
      </c>
      <c r="Q26" s="384" t="s">
        <v>368</v>
      </c>
      <c r="T26" s="384" t="s">
        <v>214</v>
      </c>
      <c r="U26" s="384" t="s">
        <v>212</v>
      </c>
      <c r="V26" s="386">
        <v>12624</v>
      </c>
      <c r="W26" s="384" t="s">
        <v>368</v>
      </c>
      <c r="Z26" s="384" t="s">
        <v>214</v>
      </c>
      <c r="AA26" s="384" t="s">
        <v>212</v>
      </c>
      <c r="AB26" s="387">
        <v>12276</v>
      </c>
      <c r="AC26" s="384" t="s">
        <v>368</v>
      </c>
      <c r="AF26" s="384" t="s">
        <v>214</v>
      </c>
      <c r="AG26" s="384" t="s">
        <v>212</v>
      </c>
      <c r="AH26" s="387">
        <v>12005</v>
      </c>
      <c r="AI26" s="384" t="s">
        <v>368</v>
      </c>
    </row>
    <row r="27" spans="2:35">
      <c r="B27" s="384" t="s">
        <v>214</v>
      </c>
      <c r="C27" s="384" t="s">
        <v>217</v>
      </c>
      <c r="D27" s="535">
        <f t="shared" si="4"/>
        <v>12733</v>
      </c>
      <c r="E27" s="384" t="s">
        <v>368</v>
      </c>
      <c r="H27" s="384" t="s">
        <v>214</v>
      </c>
      <c r="I27" s="384" t="s">
        <v>217</v>
      </c>
      <c r="J27" s="386">
        <v>12347</v>
      </c>
      <c r="K27" s="384" t="s">
        <v>368</v>
      </c>
      <c r="N27" s="384" t="s">
        <v>214</v>
      </c>
      <c r="O27" s="384" t="s">
        <v>217</v>
      </c>
      <c r="P27" s="386">
        <v>11899</v>
      </c>
      <c r="Q27" s="384" t="s">
        <v>368</v>
      </c>
      <c r="T27" s="384" t="s">
        <v>214</v>
      </c>
      <c r="U27" s="384" t="s">
        <v>217</v>
      </c>
      <c r="V27" s="386">
        <v>11651</v>
      </c>
      <c r="W27" s="384" t="s">
        <v>368</v>
      </c>
      <c r="Z27" s="384" t="s">
        <v>214</v>
      </c>
      <c r="AA27" s="384" t="s">
        <v>217</v>
      </c>
      <c r="AB27" s="387">
        <v>11321</v>
      </c>
      <c r="AC27" s="384" t="s">
        <v>368</v>
      </c>
      <c r="AF27" s="384" t="s">
        <v>214</v>
      </c>
      <c r="AG27" s="384" t="s">
        <v>217</v>
      </c>
      <c r="AH27" s="387">
        <v>11065</v>
      </c>
      <c r="AI27" s="384" t="s">
        <v>368</v>
      </c>
    </row>
    <row r="28" spans="2:35">
      <c r="B28" s="44" t="s">
        <v>369</v>
      </c>
      <c r="C28" s="45"/>
      <c r="D28" s="187">
        <v>4000</v>
      </c>
      <c r="E28" s="393" t="s">
        <v>370</v>
      </c>
      <c r="H28" s="44" t="s">
        <v>369</v>
      </c>
      <c r="I28" s="45"/>
      <c r="J28" s="187">
        <v>4000</v>
      </c>
      <c r="K28" s="393" t="s">
        <v>370</v>
      </c>
      <c r="N28" s="44" t="s">
        <v>369</v>
      </c>
      <c r="O28" s="45"/>
      <c r="P28" s="187">
        <v>4000</v>
      </c>
      <c r="Q28" s="393" t="s">
        <v>370</v>
      </c>
      <c r="T28" s="44" t="s">
        <v>369</v>
      </c>
      <c r="U28" s="45"/>
      <c r="V28" s="187">
        <v>4000</v>
      </c>
      <c r="W28" s="393" t="s">
        <v>370</v>
      </c>
      <c r="Z28" s="44" t="s">
        <v>369</v>
      </c>
      <c r="AA28" s="45"/>
      <c r="AB28" s="186">
        <v>4000</v>
      </c>
      <c r="AC28" s="393" t="s">
        <v>370</v>
      </c>
      <c r="AF28" s="44" t="s">
        <v>369</v>
      </c>
      <c r="AG28" s="45"/>
      <c r="AH28" s="186">
        <v>4000</v>
      </c>
      <c r="AI28" s="393" t="s">
        <v>370</v>
      </c>
    </row>
    <row r="29" spans="2:35">
      <c r="B29" s="384" t="s">
        <v>117</v>
      </c>
      <c r="C29" s="384"/>
      <c r="D29" s="582">
        <f>(539*1.014787563)</f>
        <v>546.97049645700008</v>
      </c>
      <c r="E29" s="384"/>
    </row>
    <row r="32" spans="2:35">
      <c r="D32">
        <v>546.97049645700008</v>
      </c>
    </row>
  </sheetData>
  <autoFilter ref="B3:E29" xr:uid="{00000000-0001-0000-0400-000000000000}"/>
  <sortState xmlns:xlrd2="http://schemas.microsoft.com/office/spreadsheetml/2017/richdata2" ref="B4:K5">
    <sortCondition ref="C4:C5"/>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837233871CAAE4F8164EE8AC371D669" ma:contentTypeVersion="8" ma:contentTypeDescription="Create a new document." ma:contentTypeScope="" ma:versionID="ef4894520b2206fc5945e822121df237">
  <xsd:schema xmlns:xsd="http://www.w3.org/2001/XMLSchema" xmlns:xs="http://www.w3.org/2001/XMLSchema" xmlns:p="http://schemas.microsoft.com/office/2006/metadata/properties" xmlns:ns2="76a758cc-8a52-4048-87a6-0cca1b86e37a" xmlns:ns3="199c7e61-1007-484e-89d1-ac686cdc91d1" targetNamespace="http://schemas.microsoft.com/office/2006/metadata/properties" ma:root="true" ma:fieldsID="b1f59e846f394f43b59de2f6b3c55797" ns2:_="" ns3:_="">
    <xsd:import namespace="76a758cc-8a52-4048-87a6-0cca1b86e37a"/>
    <xsd:import namespace="199c7e61-1007-484e-89d1-ac686cdc91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758cc-8a52-4048-87a6-0cca1b86e3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c7e61-1007-484e-89d1-ac686cdc91d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99c7e61-1007-484e-89d1-ac686cdc91d1">
      <UserInfo>
        <DisplayName>Anderson, Gemma</DisplayName>
        <AccountId>75</AccountId>
        <AccountType/>
      </UserInfo>
      <UserInfo>
        <DisplayName>Hodder, Annabel</DisplayName>
        <AccountId>76</AccountId>
        <AccountType/>
      </UserInfo>
      <UserInfo>
        <DisplayName>Dawber, Kelly</DisplayName>
        <AccountId>129</AccountId>
        <AccountType/>
      </UserInfo>
      <UserInfo>
        <DisplayName>Green, Joanne</DisplayName>
        <AccountId>131</AccountId>
        <AccountType/>
      </UserInfo>
      <UserInfo>
        <DisplayName>Wilson, Anastasia</DisplayName>
        <AccountId>128</AccountId>
        <AccountType/>
      </UserInfo>
      <UserInfo>
        <DisplayName>Moon, Jaimini</DisplayName>
        <AccountId>130</AccountId>
        <AccountType/>
      </UserInfo>
      <UserInfo>
        <DisplayName>Fry, Lyndsay</DisplayName>
        <AccountId>28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0DC2DB-AA8B-4DB7-843F-FE12B14515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758cc-8a52-4048-87a6-0cca1b86e37a"/>
    <ds:schemaRef ds:uri="199c7e61-1007-484e-89d1-ac686cdc91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4C562B-650E-41FF-9C4E-B6C6C90B5415}">
  <ds:schemaRefs>
    <ds:schemaRef ds:uri="http://schemas.microsoft.com/office/infopath/2007/PartnerControls"/>
    <ds:schemaRef ds:uri="http://www.w3.org/XML/1998/namespace"/>
    <ds:schemaRef ds:uri="http://purl.org/dc/dcmitype/"/>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199c7e61-1007-484e-89d1-ac686cdc91d1"/>
    <ds:schemaRef ds:uri="76a758cc-8a52-4048-87a6-0cca1b86e37a"/>
  </ds:schemaRefs>
</ds:datastoreItem>
</file>

<file path=customXml/itemProps3.xml><?xml version="1.0" encoding="utf-8"?>
<ds:datastoreItem xmlns:ds="http://schemas.openxmlformats.org/officeDocument/2006/customXml" ds:itemID="{CE8AC1BA-ED4B-4463-B945-2E2CC0D808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35</vt:i4>
      </vt:variant>
    </vt:vector>
  </HeadingPairs>
  <TitlesOfParts>
    <vt:vector size="49" baseType="lpstr">
      <vt:lpstr>Print Macro</vt:lpstr>
      <vt:lpstr>Resourced Provision</vt:lpstr>
      <vt:lpstr>MFG manual calculator </vt:lpstr>
      <vt:lpstr>MFG Auto Calculator</vt:lpstr>
      <vt:lpstr>HN Add Funding Worked Example</vt:lpstr>
      <vt:lpstr>Budget Shares</vt:lpstr>
      <vt:lpstr>Data</vt:lpstr>
      <vt:lpstr>APN</vt:lpstr>
      <vt:lpstr>Values</vt:lpstr>
      <vt:lpstr>Autumn term 2025</vt:lpstr>
      <vt:lpstr>2025-26 Budget Share</vt:lpstr>
      <vt:lpstr>NOR Special Units</vt:lpstr>
      <vt:lpstr>MFG</vt:lpstr>
      <vt:lpstr>25-26 MFG</vt:lpstr>
      <vt:lpstr>Values!_Hlk60744814</vt:lpstr>
      <vt:lpstr>acad</vt:lpstr>
      <vt:lpstr>asc_pri</vt:lpstr>
      <vt:lpstr>asc_sec</vt:lpstr>
      <vt:lpstr>asd_pri</vt:lpstr>
      <vt:lpstr>asd_sec</vt:lpstr>
      <vt:lpstr>'Budget Shares'!Criteria</vt:lpstr>
      <vt:lpstr>HI_PRI</vt:lpstr>
      <vt:lpstr>HI_SEC</vt:lpstr>
      <vt:lpstr>legacy</vt:lpstr>
      <vt:lpstr>MLD_PRI</vt:lpstr>
      <vt:lpstr>MLD_SEC</vt:lpstr>
      <vt:lpstr>NA_PRI</vt:lpstr>
      <vt:lpstr>NA_SEC</vt:lpstr>
      <vt:lpstr>OAKMORE</vt:lpstr>
      <vt:lpstr>Values!OLE_LINK3</vt:lpstr>
      <vt:lpstr>PD_SEC</vt:lpstr>
      <vt:lpstr>PD_SEC_SMALL</vt:lpstr>
      <vt:lpstr>place</vt:lpstr>
      <vt:lpstr>'MFG Auto Calculator'!Print_Area</vt:lpstr>
      <vt:lpstr>'MFG manual calculator '!Print_Area</vt:lpstr>
      <vt:lpstr>'Resourced Provision'!Print_Area</vt:lpstr>
      <vt:lpstr>PrintArea</vt:lpstr>
      <vt:lpstr>SEMH_PRI</vt:lpstr>
      <vt:lpstr>SEMH_SEC</vt:lpstr>
      <vt:lpstr>SIGN_PRI</vt:lpstr>
      <vt:lpstr>SIGN_SEC</vt:lpstr>
      <vt:lpstr>SLCN_PRI</vt:lpstr>
      <vt:lpstr>SLCN_SEC</vt:lpstr>
      <vt:lpstr>SLD_PRI</vt:lpstr>
      <vt:lpstr>SPLD_SEC</vt:lpstr>
      <vt:lpstr>TACT_PRI</vt:lpstr>
      <vt:lpstr>TACT_SEC</vt:lpstr>
      <vt:lpstr>VI_PRI</vt:lpstr>
      <vt:lpstr>VI_SEC</vt:lpstr>
    </vt:vector>
  </TitlesOfParts>
  <Manager/>
  <Company>Hampshire County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ctc6ki</dc:creator>
  <cp:keywords/>
  <dc:description/>
  <cp:lastModifiedBy>Jones, Aimee</cp:lastModifiedBy>
  <cp:revision/>
  <dcterms:created xsi:type="dcterms:W3CDTF">2014-01-29T11:23:59Z</dcterms:created>
  <dcterms:modified xsi:type="dcterms:W3CDTF">2026-05-01T15:54:16Z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0x010100D837233871CAAE4F8164EE8AC371D669</vt:lpwstr>
  </property>
</Properties>
</file>